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1985" activeTab="2"/>
  </bookViews>
  <sheets>
    <sheet name="Rev.kom. malbrev" sheetId="19" r:id="rId1"/>
    <sheet name="Sjekkliste rev.kom." sheetId="18" r:id="rId2"/>
    <sheet name="Regnskap 2018" sheetId="24" r:id="rId3"/>
    <sheet name="Ark25" sheetId="49" r:id="rId4"/>
    <sheet name="Ark26" sheetId="50" r:id="rId5"/>
    <sheet name="Ark27" sheetId="51" r:id="rId6"/>
    <sheet name="Ark28" sheetId="52" r:id="rId7"/>
    <sheet name="Ark29" sheetId="53" r:id="rId8"/>
    <sheet name="Ark30" sheetId="54" r:id="rId9"/>
    <sheet name="Ark31" sheetId="55" r:id="rId10"/>
    <sheet name="Ark32" sheetId="56" r:id="rId11"/>
    <sheet name="Ark33" sheetId="57" r:id="rId12"/>
    <sheet name="Ark34" sheetId="58" r:id="rId13"/>
    <sheet name="Ark35" sheetId="59" r:id="rId14"/>
    <sheet name="Ark36" sheetId="60" r:id="rId15"/>
    <sheet name="Ark37" sheetId="61" r:id="rId16"/>
    <sheet name="Ark38" sheetId="62" r:id="rId17"/>
    <sheet name="Ark13" sheetId="37" r:id="rId18"/>
    <sheet name="Ark14" sheetId="38" r:id="rId19"/>
    <sheet name="Ark15" sheetId="39" r:id="rId20"/>
    <sheet name="Ark16" sheetId="40" r:id="rId21"/>
    <sheet name="Ark17" sheetId="41" r:id="rId22"/>
    <sheet name="Ark18" sheetId="42" r:id="rId23"/>
    <sheet name="Ark19" sheetId="43" r:id="rId24"/>
    <sheet name="Ark20" sheetId="44" r:id="rId25"/>
    <sheet name="Ark21" sheetId="45" r:id="rId26"/>
    <sheet name="Ark22" sheetId="46" r:id="rId27"/>
    <sheet name="Ark23" sheetId="47" r:id="rId28"/>
    <sheet name="Ark24" sheetId="48" r:id="rId29"/>
    <sheet name="Ark12" sheetId="36" r:id="rId30"/>
    <sheet name="Ark11" sheetId="35" r:id="rId31"/>
    <sheet name="Ark9" sheetId="33" r:id="rId32"/>
    <sheet name="Ark1" sheetId="25" r:id="rId33"/>
    <sheet name="Ark10" sheetId="34" r:id="rId34"/>
    <sheet name="Ark7" sheetId="31" r:id="rId35"/>
    <sheet name="Ark8" sheetId="32" r:id="rId36"/>
    <sheet name="Ark2" sheetId="26" r:id="rId37"/>
    <sheet name="Regnskap 2017" sheetId="22" r:id="rId38"/>
    <sheet name="Ark4" sheetId="28" r:id="rId39"/>
    <sheet name="Ark5" sheetId="29" r:id="rId40"/>
    <sheet name="Ark6" sheetId="30" r:id="rId41"/>
    <sheet name="Ark3" sheetId="27" r:id="rId42"/>
    <sheet name="Regnskap 2016" sheetId="21" r:id="rId43"/>
    <sheet name="Regnskap 2015" sheetId="20" r:id="rId44"/>
    <sheet name="Regnskap 2014" sheetId="17" r:id="rId45"/>
    <sheet name="Regnskap 2013" sheetId="16" r:id="rId46"/>
    <sheet name="Regnskap 2012" sheetId="14" r:id="rId47"/>
    <sheet name="Regnskap 2011" sheetId="15" r:id="rId48"/>
    <sheet name="Regnskap 2010" sheetId="13" r:id="rId49"/>
    <sheet name="Regnskap 2009" sheetId="11" r:id="rId50"/>
    <sheet name="Regnskap 2008" sheetId="10" r:id="rId51"/>
    <sheet name="Regnskap 2007" sheetId="9" r:id="rId52"/>
    <sheet name="Regnskap 2006" sheetId="8" r:id="rId53"/>
    <sheet name="Korr.regnsk.2005" sheetId="2" r:id="rId54"/>
    <sheet name="Regnsk.2005 fra Vibeke" sheetId="1" r:id="rId55"/>
    <sheet name="Korr. regnsk. 2004" sheetId="7" r:id="rId56"/>
  </sheets>
  <definedNames>
    <definedName name="_xlnm.Print_Area" localSheetId="53">Korr.regnsk.2005!$A$72:$L$114</definedName>
    <definedName name="_xlnm.Print_Area" localSheetId="37">'Regnskap 2017'!$B$141:$J$213</definedName>
    <definedName name="_xlnm.Print_Area" localSheetId="2">'Regnskap 2018'!$B$140:$J$212</definedName>
    <definedName name="_xlnm.Print_Area" localSheetId="0">'Rev.kom. malbrev'!$B$3:$H$31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0" i="24" l="1"/>
  <c r="H125" i="24" l="1"/>
  <c r="H111" i="24"/>
  <c r="E63" i="24"/>
  <c r="AD62" i="24" l="1"/>
  <c r="G127" i="24" l="1"/>
  <c r="G125" i="24"/>
  <c r="G124" i="24"/>
  <c r="G123" i="24"/>
  <c r="G122" i="24"/>
  <c r="G121" i="24"/>
  <c r="G120" i="24"/>
  <c r="G119" i="24"/>
  <c r="G118" i="24"/>
  <c r="G117" i="24"/>
  <c r="G116" i="24"/>
  <c r="G115" i="24"/>
  <c r="G114" i="24"/>
  <c r="G111" i="24"/>
  <c r="G110" i="24"/>
  <c r="G109" i="24"/>
  <c r="G108" i="24"/>
  <c r="AG63" i="24" l="1"/>
  <c r="AI64" i="24"/>
  <c r="S63" i="24" l="1"/>
  <c r="D212" i="24"/>
  <c r="I206" i="24"/>
  <c r="D202" i="24"/>
  <c r="J200" i="24"/>
  <c r="D197" i="24"/>
  <c r="D192" i="24"/>
  <c r="J191" i="24"/>
  <c r="J194" i="24" s="1"/>
  <c r="D187" i="24"/>
  <c r="D182" i="24"/>
  <c r="D169" i="24"/>
  <c r="D164" i="24"/>
  <c r="D159" i="24"/>
  <c r="J155" i="24"/>
  <c r="D154" i="24"/>
  <c r="J148" i="24"/>
  <c r="D148" i="24"/>
  <c r="D149" i="24" s="1"/>
  <c r="D145" i="24"/>
  <c r="C145" i="24"/>
  <c r="L119" i="24"/>
  <c r="L121" i="24" s="1"/>
  <c r="M107" i="24"/>
  <c r="I209" i="24"/>
  <c r="AW64" i="24"/>
  <c r="AW66" i="24" s="1"/>
  <c r="AY63" i="24"/>
  <c r="AO63" i="24"/>
  <c r="AM63" i="24"/>
  <c r="AK63" i="24"/>
  <c r="AI63" i="24"/>
  <c r="AC63" i="24"/>
  <c r="AA63" i="24"/>
  <c r="Y63" i="24"/>
  <c r="W63" i="24"/>
  <c r="U63" i="24"/>
  <c r="Q63" i="24"/>
  <c r="O63" i="24"/>
  <c r="M63" i="24"/>
  <c r="K63" i="24"/>
  <c r="I63" i="24"/>
  <c r="G63" i="24"/>
  <c r="AT62" i="24"/>
  <c r="AR62" i="24"/>
  <c r="AP62" i="24"/>
  <c r="AH62" i="24"/>
  <c r="AF62" i="24"/>
  <c r="AG64" i="24" s="1"/>
  <c r="AB62" i="24"/>
  <c r="N108" i="24" s="1"/>
  <c r="Z62" i="24"/>
  <c r="X62" i="24"/>
  <c r="V62" i="24"/>
  <c r="V64" i="24" s="1"/>
  <c r="T62" i="24"/>
  <c r="R62" i="24"/>
  <c r="P62" i="24"/>
  <c r="N62" i="24"/>
  <c r="L62" i="24"/>
  <c r="J62" i="24"/>
  <c r="H62" i="24"/>
  <c r="F62" i="24"/>
  <c r="D62" i="24"/>
  <c r="AZ61" i="24"/>
  <c r="AZ60" i="24"/>
  <c r="AZ59" i="24"/>
  <c r="AZ58" i="24"/>
  <c r="AZ57" i="24"/>
  <c r="AZ56" i="24"/>
  <c r="AZ55" i="24"/>
  <c r="AZ54" i="24"/>
  <c r="AZ53" i="24"/>
  <c r="AZ52" i="24"/>
  <c r="AZ51" i="24"/>
  <c r="AZ50" i="24"/>
  <c r="AZ49" i="24"/>
  <c r="AZ48" i="24"/>
  <c r="AZ47" i="24"/>
  <c r="AZ46" i="24"/>
  <c r="AZ45" i="24"/>
  <c r="AZ44" i="24"/>
  <c r="AZ43" i="24"/>
  <c r="AZ42" i="24"/>
  <c r="AZ41" i="24"/>
  <c r="AZ40" i="24"/>
  <c r="AZ39" i="24"/>
  <c r="AZ38" i="24"/>
  <c r="AZ37" i="24"/>
  <c r="AZ36" i="24"/>
  <c r="AZ35" i="24"/>
  <c r="AZ34" i="24"/>
  <c r="AZ33" i="24"/>
  <c r="AZ32" i="24"/>
  <c r="AZ31" i="24"/>
  <c r="AZ30" i="24"/>
  <c r="AZ29" i="24"/>
  <c r="AZ28" i="24"/>
  <c r="AZ27" i="24"/>
  <c r="AZ26" i="24"/>
  <c r="AZ25" i="24"/>
  <c r="AZ24" i="24"/>
  <c r="AZ23" i="24"/>
  <c r="AZ22" i="24"/>
  <c r="AZ21" i="24"/>
  <c r="AZ20" i="24"/>
  <c r="AZ19" i="24"/>
  <c r="AZ18" i="24"/>
  <c r="AZ17" i="24"/>
  <c r="AZ16" i="24"/>
  <c r="AZ15" i="24"/>
  <c r="AZ14" i="24"/>
  <c r="AZ13" i="24"/>
  <c r="AZ12" i="24"/>
  <c r="AZ11" i="24"/>
  <c r="AZ10" i="24"/>
  <c r="M64" i="24" l="1"/>
  <c r="D120" i="24"/>
  <c r="G64" i="24"/>
  <c r="D122" i="24"/>
  <c r="W64" i="24"/>
  <c r="AH64" i="24"/>
  <c r="D124" i="24"/>
  <c r="Q64" i="24"/>
  <c r="Y64" i="24"/>
  <c r="D110" i="24"/>
  <c r="D118" i="24"/>
  <c r="D123" i="24"/>
  <c r="D117" i="24"/>
  <c r="N64" i="24"/>
  <c r="D109" i="24"/>
  <c r="AC64" i="24"/>
  <c r="Z64" i="24"/>
  <c r="R64" i="24"/>
  <c r="J64" i="24"/>
  <c r="I64" i="24"/>
  <c r="D114" i="24"/>
  <c r="F64" i="24"/>
  <c r="E64" i="24"/>
  <c r="D77" i="24"/>
  <c r="F77" i="24" s="1"/>
  <c r="AY64" i="24"/>
  <c r="AX64" i="24"/>
  <c r="AX66" i="24" s="1"/>
  <c r="AV64" i="24"/>
  <c r="AE64" i="24"/>
  <c r="D76" i="24"/>
  <c r="F76" i="24" s="1"/>
  <c r="AD64" i="24"/>
  <c r="AD66" i="24" s="1"/>
  <c r="D121" i="24"/>
  <c r="K64" i="24"/>
  <c r="O64" i="24"/>
  <c r="S64" i="24"/>
  <c r="AA64" i="24"/>
  <c r="D115" i="24"/>
  <c r="D119" i="24"/>
  <c r="D64" i="24"/>
  <c r="D66" i="24" s="1"/>
  <c r="H64" i="24"/>
  <c r="L64" i="24"/>
  <c r="P64" i="24"/>
  <c r="T64" i="24"/>
  <c r="X64" i="24"/>
  <c r="AB64" i="24"/>
  <c r="AF64" i="24"/>
  <c r="U64" i="24"/>
  <c r="AZ12" i="22"/>
  <c r="AZ13" i="22"/>
  <c r="D165" i="22"/>
  <c r="F75" i="24" l="1"/>
  <c r="D78" i="24"/>
  <c r="D111" i="24"/>
  <c r="N107" i="24"/>
  <c r="D193" i="22"/>
  <c r="D149" i="22"/>
  <c r="L120" i="22"/>
  <c r="D178" i="22"/>
  <c r="J156" i="22"/>
  <c r="D127" i="24" l="1"/>
  <c r="J165" i="24" s="1"/>
  <c r="F110" i="22"/>
  <c r="F111" i="22"/>
  <c r="F115" i="22"/>
  <c r="F116" i="22"/>
  <c r="F117" i="22"/>
  <c r="F118" i="22"/>
  <c r="F119" i="22"/>
  <c r="F120" i="22"/>
  <c r="F121" i="22"/>
  <c r="F123" i="22"/>
  <c r="H123" i="22" s="1"/>
  <c r="F124" i="22"/>
  <c r="F125" i="22"/>
  <c r="H125" i="22" s="1"/>
  <c r="F109" i="22"/>
  <c r="E127" i="22"/>
  <c r="AW64" i="22"/>
  <c r="AZ14" i="22"/>
  <c r="D213" i="22"/>
  <c r="D208" i="22"/>
  <c r="D203" i="22"/>
  <c r="J201" i="22"/>
  <c r="D198" i="22"/>
  <c r="J192" i="22"/>
  <c r="J195" i="22" s="1"/>
  <c r="D188" i="22"/>
  <c r="D183" i="22"/>
  <c r="J180" i="22"/>
  <c r="D170" i="22"/>
  <c r="D160" i="22"/>
  <c r="D155" i="22"/>
  <c r="J149" i="22"/>
  <c r="D150" i="22"/>
  <c r="C146" i="22"/>
  <c r="L122" i="22"/>
  <c r="AY63" i="22"/>
  <c r="AO63" i="22"/>
  <c r="AM63" i="22"/>
  <c r="AK63" i="22"/>
  <c r="AI63" i="22"/>
  <c r="AG63" i="22"/>
  <c r="AE63" i="22"/>
  <c r="AC63" i="22"/>
  <c r="AA63" i="22"/>
  <c r="Y63" i="22"/>
  <c r="W63" i="22"/>
  <c r="U63" i="22"/>
  <c r="S63" i="22"/>
  <c r="Q63" i="22"/>
  <c r="O63" i="22"/>
  <c r="M63" i="22"/>
  <c r="K63" i="22"/>
  <c r="I63" i="22"/>
  <c r="G63" i="22"/>
  <c r="E63" i="22"/>
  <c r="AV62" i="22"/>
  <c r="AT62" i="22"/>
  <c r="AR62" i="22"/>
  <c r="AP62" i="22"/>
  <c r="AH62" i="22"/>
  <c r="G111" i="22" s="1"/>
  <c r="AF62" i="22"/>
  <c r="AB62" i="22"/>
  <c r="Z62" i="22"/>
  <c r="X62" i="22"/>
  <c r="V62" i="22"/>
  <c r="T62" i="22"/>
  <c r="R62" i="22"/>
  <c r="P62" i="22"/>
  <c r="N62" i="22"/>
  <c r="L62" i="22"/>
  <c r="J62" i="22"/>
  <c r="H62" i="22"/>
  <c r="F62" i="22"/>
  <c r="AZ61" i="22"/>
  <c r="AZ60" i="22"/>
  <c r="AZ59" i="22"/>
  <c r="AZ58" i="22"/>
  <c r="AZ57" i="22"/>
  <c r="AZ56" i="22"/>
  <c r="AZ55" i="22"/>
  <c r="AZ54" i="22"/>
  <c r="AZ53" i="22"/>
  <c r="AZ52" i="22"/>
  <c r="AZ51" i="22"/>
  <c r="AZ50" i="22"/>
  <c r="AZ49" i="22"/>
  <c r="AZ48" i="22"/>
  <c r="AZ47" i="22"/>
  <c r="AZ46" i="22"/>
  <c r="AZ45" i="22"/>
  <c r="AZ44" i="22"/>
  <c r="AZ43" i="22"/>
  <c r="AZ42" i="22"/>
  <c r="AZ41" i="22"/>
  <c r="AZ40" i="22"/>
  <c r="AZ39" i="22"/>
  <c r="AZ38" i="22"/>
  <c r="AZ37" i="22"/>
  <c r="AZ36" i="22"/>
  <c r="AZ35" i="22"/>
  <c r="AZ34" i="22"/>
  <c r="AZ33" i="22"/>
  <c r="AZ32" i="22"/>
  <c r="AZ31" i="22"/>
  <c r="AZ30" i="22"/>
  <c r="AZ29" i="22"/>
  <c r="AZ28" i="22"/>
  <c r="AZ27" i="22"/>
  <c r="AZ26" i="22"/>
  <c r="AZ25" i="22"/>
  <c r="AZ24" i="22"/>
  <c r="AZ23" i="22"/>
  <c r="AZ22" i="22"/>
  <c r="AZ21" i="22"/>
  <c r="AZ20" i="22"/>
  <c r="AZ19" i="22"/>
  <c r="AZ18" i="22"/>
  <c r="AZ17" i="22"/>
  <c r="AZ16" i="22"/>
  <c r="AZ15" i="22"/>
  <c r="AZ11" i="22"/>
  <c r="AZ10" i="22"/>
  <c r="D191" i="21"/>
  <c r="D200" i="20"/>
  <c r="J207" i="21"/>
  <c r="AZ67" i="21"/>
  <c r="L127" i="21"/>
  <c r="L129" i="21" s="1"/>
  <c r="I129" i="21" s="1"/>
  <c r="I133" i="21" s="1"/>
  <c r="F126" i="22" s="1"/>
  <c r="AB69" i="21"/>
  <c r="AC70" i="21"/>
  <c r="AF69" i="21"/>
  <c r="AG70" i="21"/>
  <c r="AH69" i="21"/>
  <c r="AI70" i="21"/>
  <c r="F69" i="21"/>
  <c r="G70" i="21"/>
  <c r="H69" i="21"/>
  <c r="I70" i="21"/>
  <c r="J69" i="21"/>
  <c r="K70" i="21"/>
  <c r="Z69" i="21"/>
  <c r="AA70" i="21"/>
  <c r="X69" i="21"/>
  <c r="Y70" i="21"/>
  <c r="P69" i="21"/>
  <c r="Q70" i="21"/>
  <c r="T69" i="21"/>
  <c r="U70" i="21"/>
  <c r="L69" i="21"/>
  <c r="M70" i="21"/>
  <c r="N69" i="21"/>
  <c r="O70" i="21"/>
  <c r="R69" i="21"/>
  <c r="S70" i="21"/>
  <c r="V69" i="21"/>
  <c r="W70" i="21"/>
  <c r="AR59" i="20"/>
  <c r="AZ63" i="21"/>
  <c r="AZ64" i="21"/>
  <c r="AZ65" i="21"/>
  <c r="AZ66" i="21"/>
  <c r="AZ43" i="17"/>
  <c r="AZ44" i="17"/>
  <c r="AZ62" i="21"/>
  <c r="AZ61" i="21"/>
  <c r="AZ58" i="21"/>
  <c r="AZ59" i="21"/>
  <c r="K117" i="20"/>
  <c r="D169" i="21"/>
  <c r="C154" i="21"/>
  <c r="J161" i="21"/>
  <c r="D215" i="21"/>
  <c r="D210" i="21"/>
  <c r="D200" i="21"/>
  <c r="AZ26" i="21"/>
  <c r="D164" i="21"/>
  <c r="D157" i="21"/>
  <c r="D158" i="21"/>
  <c r="D152" i="21"/>
  <c r="D153" i="21"/>
  <c r="AZ50" i="21"/>
  <c r="AZ51" i="21"/>
  <c r="AZ52" i="21"/>
  <c r="AZ53" i="21"/>
  <c r="AZ54" i="21"/>
  <c r="AZ55" i="21"/>
  <c r="AZ56" i="21"/>
  <c r="AZ57" i="21"/>
  <c r="AZ60" i="21"/>
  <c r="AZ68" i="21"/>
  <c r="H132" i="21"/>
  <c r="AT59" i="20"/>
  <c r="AB59" i="20"/>
  <c r="AC60" i="20"/>
  <c r="AF59" i="20"/>
  <c r="AG60" i="20"/>
  <c r="AH59" i="20"/>
  <c r="AI60" i="20"/>
  <c r="D108" i="20" s="1"/>
  <c r="G108" i="20" s="1"/>
  <c r="F59" i="20"/>
  <c r="G60" i="20"/>
  <c r="H59" i="20"/>
  <c r="I60" i="20"/>
  <c r="D113" i="20" s="1"/>
  <c r="G113" i="20" s="1"/>
  <c r="H113" i="20" s="1"/>
  <c r="J59" i="20"/>
  <c r="K60" i="20"/>
  <c r="Z59" i="20"/>
  <c r="AA60" i="20"/>
  <c r="X59" i="20"/>
  <c r="Y60" i="20"/>
  <c r="P59" i="20"/>
  <c r="Q60" i="20"/>
  <c r="T59" i="20"/>
  <c r="U60" i="20"/>
  <c r="L59" i="20"/>
  <c r="M60" i="20"/>
  <c r="N59" i="20"/>
  <c r="N61" i="20" s="1"/>
  <c r="O60" i="20"/>
  <c r="R59" i="20"/>
  <c r="S60" i="20"/>
  <c r="R61" i="20" s="1"/>
  <c r="V59" i="20"/>
  <c r="W61" i="20" s="1"/>
  <c r="W60" i="20"/>
  <c r="AP59" i="20"/>
  <c r="AO60" i="20"/>
  <c r="AM60" i="20"/>
  <c r="AK60" i="20"/>
  <c r="AE60" i="20"/>
  <c r="AZ11" i="21"/>
  <c r="AY60" i="20"/>
  <c r="AZ16" i="21"/>
  <c r="AZ10" i="21"/>
  <c r="AZ12" i="21"/>
  <c r="AZ13" i="21"/>
  <c r="AZ14" i="21"/>
  <c r="AZ15" i="21"/>
  <c r="AZ17" i="21"/>
  <c r="AZ18" i="21"/>
  <c r="AZ19" i="21"/>
  <c r="AZ20" i="21"/>
  <c r="AZ21" i="21"/>
  <c r="AZ22" i="21"/>
  <c r="AZ23" i="21"/>
  <c r="AZ24" i="21"/>
  <c r="AZ25" i="21"/>
  <c r="AZ27" i="21"/>
  <c r="AZ28" i="21"/>
  <c r="AZ29" i="21"/>
  <c r="D22" i="20"/>
  <c r="AZ22" i="20" s="1"/>
  <c r="D23" i="20"/>
  <c r="AZ23" i="20" s="1"/>
  <c r="D26" i="20"/>
  <c r="AZ26" i="20" s="1"/>
  <c r="E60" i="20"/>
  <c r="E70" i="21"/>
  <c r="AP69" i="21"/>
  <c r="I213" i="21"/>
  <c r="I216" i="21"/>
  <c r="J197" i="21"/>
  <c r="J200" i="21" s="1"/>
  <c r="J185" i="21"/>
  <c r="J157" i="21"/>
  <c r="D219" i="21"/>
  <c r="D205" i="21"/>
  <c r="D196" i="21"/>
  <c r="D186" i="21"/>
  <c r="D179" i="21"/>
  <c r="D174" i="21"/>
  <c r="D151" i="21"/>
  <c r="AR69" i="21"/>
  <c r="AT69" i="21"/>
  <c r="AE70" i="21"/>
  <c r="AY70" i="21"/>
  <c r="AK70" i="21"/>
  <c r="AM70" i="21"/>
  <c r="AO70" i="21"/>
  <c r="AV69" i="21"/>
  <c r="AW70" i="21"/>
  <c r="I119" i="21"/>
  <c r="F119" i="21"/>
  <c r="F133" i="21"/>
  <c r="H130" i="21"/>
  <c r="N116" i="21"/>
  <c r="M115" i="21"/>
  <c r="AI71" i="21"/>
  <c r="AH71" i="21"/>
  <c r="AA71" i="21"/>
  <c r="Z71" i="21"/>
  <c r="R71" i="21"/>
  <c r="Q71" i="21"/>
  <c r="P71" i="21"/>
  <c r="AZ49" i="21"/>
  <c r="AZ48" i="21"/>
  <c r="AZ47" i="21"/>
  <c r="AZ46" i="21"/>
  <c r="AZ45" i="21"/>
  <c r="AZ44" i="21"/>
  <c r="AZ43" i="21"/>
  <c r="AZ42" i="21"/>
  <c r="AZ41" i="21"/>
  <c r="AZ40" i="21"/>
  <c r="AZ39" i="21"/>
  <c r="AZ38" i="21"/>
  <c r="AZ37" i="21"/>
  <c r="AZ36" i="21"/>
  <c r="AZ35" i="21"/>
  <c r="AZ34" i="21"/>
  <c r="AZ33" i="21"/>
  <c r="AZ32" i="21"/>
  <c r="AZ31" i="21"/>
  <c r="AZ30" i="21"/>
  <c r="AV59" i="20"/>
  <c r="AW60" i="20"/>
  <c r="D236" i="20"/>
  <c r="D208" i="20"/>
  <c r="C142" i="20"/>
  <c r="D259" i="20"/>
  <c r="D233" i="20"/>
  <c r="AZ49" i="20"/>
  <c r="D186" i="20"/>
  <c r="D143" i="20"/>
  <c r="D234" i="20"/>
  <c r="AZ44" i="20"/>
  <c r="D142" i="20"/>
  <c r="D141" i="20"/>
  <c r="H139" i="20"/>
  <c r="E89" i="20"/>
  <c r="E90" i="20" s="1"/>
  <c r="D250" i="20"/>
  <c r="D253" i="20" s="1"/>
  <c r="D195" i="20"/>
  <c r="D177" i="20"/>
  <c r="D169" i="20"/>
  <c r="D164" i="20"/>
  <c r="D158" i="20"/>
  <c r="D153" i="20"/>
  <c r="D144" i="20"/>
  <c r="E130" i="20"/>
  <c r="I123" i="20"/>
  <c r="F123" i="20"/>
  <c r="E123" i="20"/>
  <c r="E125" i="20" s="1"/>
  <c r="H122" i="20"/>
  <c r="K119" i="20"/>
  <c r="I109" i="20"/>
  <c r="F109" i="20"/>
  <c r="E109" i="20"/>
  <c r="L107" i="20"/>
  <c r="M106" i="20"/>
  <c r="AZ58" i="20"/>
  <c r="AZ57" i="20"/>
  <c r="AZ56" i="20"/>
  <c r="AZ55" i="20"/>
  <c r="AZ54" i="20"/>
  <c r="AZ53" i="20"/>
  <c r="AZ52" i="20"/>
  <c r="AZ51" i="20"/>
  <c r="AZ50" i="20"/>
  <c r="AZ48" i="20"/>
  <c r="AZ47" i="20"/>
  <c r="AZ46" i="20"/>
  <c r="AZ45" i="20"/>
  <c r="AZ43" i="20"/>
  <c r="AZ42" i="20"/>
  <c r="AZ41" i="20"/>
  <c r="AZ40" i="20"/>
  <c r="AZ39" i="20"/>
  <c r="AZ38" i="20"/>
  <c r="AZ37" i="20"/>
  <c r="AZ36" i="20"/>
  <c r="AZ35" i="20"/>
  <c r="AZ34" i="20"/>
  <c r="AZ33" i="20"/>
  <c r="AZ32" i="20"/>
  <c r="AZ31" i="20"/>
  <c r="AZ30" i="20"/>
  <c r="AZ29" i="20"/>
  <c r="AZ28" i="20"/>
  <c r="AZ27" i="20"/>
  <c r="AZ25" i="20"/>
  <c r="AZ24" i="20"/>
  <c r="AZ21" i="20"/>
  <c r="AZ20" i="20"/>
  <c r="H61" i="20"/>
  <c r="AZ19" i="20"/>
  <c r="AZ18" i="20"/>
  <c r="AZ17" i="20"/>
  <c r="AZ16" i="20"/>
  <c r="AZ15" i="20"/>
  <c r="AZ14" i="20"/>
  <c r="AZ13" i="20"/>
  <c r="AZ12" i="20"/>
  <c r="AZ11" i="20"/>
  <c r="AZ10" i="20"/>
  <c r="AZ9" i="20"/>
  <c r="AH61" i="20"/>
  <c r="AC61" i="20"/>
  <c r="H108" i="20"/>
  <c r="K61" i="20"/>
  <c r="I61" i="20"/>
  <c r="O61" i="20"/>
  <c r="AI61" i="20"/>
  <c r="X61" i="20"/>
  <c r="AB61" i="20"/>
  <c r="D232" i="17"/>
  <c r="D141" i="17"/>
  <c r="AZ56" i="17"/>
  <c r="D193" i="17"/>
  <c r="D143" i="17"/>
  <c r="D140" i="17"/>
  <c r="A3" i="18"/>
  <c r="A4" i="18" s="1"/>
  <c r="A5" i="18" s="1"/>
  <c r="A6" i="18" s="1"/>
  <c r="A7" i="18" s="1"/>
  <c r="A8" i="18" s="1"/>
  <c r="A9" i="18" s="1"/>
  <c r="A10" i="18" s="1"/>
  <c r="D245" i="17"/>
  <c r="D248" i="17" s="1"/>
  <c r="D220" i="17"/>
  <c r="C220" i="17" s="1"/>
  <c r="D222" i="17" s="1"/>
  <c r="D223" i="17" s="1"/>
  <c r="D127" i="17" s="1"/>
  <c r="C260" i="17" s="1"/>
  <c r="P38" i="17"/>
  <c r="P58" i="17" s="1"/>
  <c r="AX22" i="17"/>
  <c r="J22" i="17"/>
  <c r="H20" i="17"/>
  <c r="AV13" i="17"/>
  <c r="K116" i="17"/>
  <c r="K118" i="17" s="1"/>
  <c r="AZ57" i="17"/>
  <c r="AC59" i="17"/>
  <c r="E46" i="17"/>
  <c r="AZ46" i="17" s="1"/>
  <c r="AZ45" i="17"/>
  <c r="AZ47" i="17"/>
  <c r="AZ35" i="17"/>
  <c r="AX38" i="17"/>
  <c r="J21" i="17"/>
  <c r="E38" i="17"/>
  <c r="AZ55" i="17"/>
  <c r="AZ28" i="17"/>
  <c r="AZ26" i="17"/>
  <c r="AZ54" i="17"/>
  <c r="AZ53" i="17"/>
  <c r="AZ52" i="17"/>
  <c r="AZ51" i="17"/>
  <c r="AZ50" i="17"/>
  <c r="AZ49" i="17"/>
  <c r="AZ48" i="17"/>
  <c r="AZ42" i="17"/>
  <c r="AZ41" i="17"/>
  <c r="AZ40" i="17"/>
  <c r="AZ39" i="17"/>
  <c r="AZ37" i="17"/>
  <c r="AZ36" i="17"/>
  <c r="AZ34" i="17"/>
  <c r="AZ33" i="17"/>
  <c r="AZ32" i="17"/>
  <c r="AZ31" i="17"/>
  <c r="AZ30" i="17"/>
  <c r="AZ29" i="17"/>
  <c r="AZ27" i="17"/>
  <c r="AZ25" i="17"/>
  <c r="AZ24" i="17"/>
  <c r="AZ23" i="17"/>
  <c r="AZ22" i="17"/>
  <c r="AZ19" i="17"/>
  <c r="AZ18" i="17"/>
  <c r="AZ17" i="17"/>
  <c r="AZ16" i="17"/>
  <c r="AZ15" i="17"/>
  <c r="AZ14" i="17"/>
  <c r="AZ12" i="17"/>
  <c r="AZ11" i="17"/>
  <c r="AZ10" i="17"/>
  <c r="AZ9" i="17"/>
  <c r="AZ8" i="17"/>
  <c r="D253" i="17"/>
  <c r="D204" i="17"/>
  <c r="D197" i="17"/>
  <c r="D184" i="17"/>
  <c r="D176" i="17"/>
  <c r="D168" i="17"/>
  <c r="D163" i="17"/>
  <c r="D157" i="17"/>
  <c r="D152" i="17"/>
  <c r="E129" i="17"/>
  <c r="I122" i="17"/>
  <c r="F122" i="17"/>
  <c r="E122" i="17"/>
  <c r="H121" i="17"/>
  <c r="F108" i="17"/>
  <c r="E108" i="17"/>
  <c r="H107" i="17"/>
  <c r="L106" i="17"/>
  <c r="M105" i="17"/>
  <c r="I108" i="17"/>
  <c r="E94" i="17"/>
  <c r="C262" i="17" s="1"/>
  <c r="E93" i="17"/>
  <c r="C259" i="17" s="1"/>
  <c r="E92" i="17"/>
  <c r="E88" i="17"/>
  <c r="E89" i="17" s="1"/>
  <c r="E80" i="17"/>
  <c r="E79" i="17"/>
  <c r="E78" i="17"/>
  <c r="E74" i="17"/>
  <c r="E73" i="17"/>
  <c r="E72" i="17"/>
  <c r="AY59" i="17"/>
  <c r="AW59" i="17"/>
  <c r="AU59" i="17"/>
  <c r="AS59" i="17"/>
  <c r="AQ59" i="17"/>
  <c r="AO59" i="17"/>
  <c r="AM59" i="17"/>
  <c r="AK59" i="17"/>
  <c r="AI59" i="17"/>
  <c r="AG59" i="17"/>
  <c r="AE59" i="17"/>
  <c r="AA59" i="17"/>
  <c r="Y59" i="17"/>
  <c r="W59" i="17"/>
  <c r="U59" i="17"/>
  <c r="S59" i="17"/>
  <c r="Q59" i="17"/>
  <c r="O59" i="17"/>
  <c r="M59" i="17"/>
  <c r="K59" i="17"/>
  <c r="I59" i="17"/>
  <c r="G59" i="17"/>
  <c r="AT58" i="17"/>
  <c r="AT60" i="17" s="1"/>
  <c r="AR58" i="17"/>
  <c r="AS60" i="17" s="1"/>
  <c r="AP58" i="17"/>
  <c r="AN58" i="17"/>
  <c r="AL58" i="17"/>
  <c r="AM60" i="17" s="1"/>
  <c r="AJ58" i="17"/>
  <c r="AH58" i="17"/>
  <c r="AF58" i="17"/>
  <c r="AD58" i="17"/>
  <c r="AE60" i="17" s="1"/>
  <c r="AB58" i="17"/>
  <c r="Z58" i="17"/>
  <c r="X58" i="17"/>
  <c r="V58" i="17"/>
  <c r="T58" i="17"/>
  <c r="R58" i="17"/>
  <c r="N58" i="17"/>
  <c r="L58" i="17"/>
  <c r="M60" i="17" s="1"/>
  <c r="F58" i="17"/>
  <c r="D58" i="17"/>
  <c r="AD60" i="17"/>
  <c r="AD62" i="17" s="1"/>
  <c r="AD8" i="20" s="1"/>
  <c r="AR60" i="17"/>
  <c r="D234" i="16"/>
  <c r="D236" i="16" s="1"/>
  <c r="D258" i="16"/>
  <c r="D203" i="16"/>
  <c r="D175" i="16"/>
  <c r="D147" i="16"/>
  <c r="D145" i="16"/>
  <c r="D144" i="16"/>
  <c r="D161" i="16"/>
  <c r="BR14" i="16"/>
  <c r="I131" i="16"/>
  <c r="I109" i="16"/>
  <c r="M112" i="16" s="1"/>
  <c r="K120" i="16" s="1"/>
  <c r="K122" i="16" s="1"/>
  <c r="M110" i="16"/>
  <c r="M109" i="16"/>
  <c r="L110" i="16"/>
  <c r="D166" i="16"/>
  <c r="D170" i="16" s="1"/>
  <c r="E133" i="16"/>
  <c r="E126" i="16"/>
  <c r="F131" i="16"/>
  <c r="C225" i="16"/>
  <c r="D209" i="16"/>
  <c r="D198" i="16"/>
  <c r="D190" i="16"/>
  <c r="D182" i="16"/>
  <c r="D156" i="16"/>
  <c r="I126" i="16"/>
  <c r="F126" i="16"/>
  <c r="H125" i="16"/>
  <c r="I112" i="16"/>
  <c r="F112" i="16"/>
  <c r="F128" i="16" s="1"/>
  <c r="F132" i="16" s="1"/>
  <c r="E112" i="16"/>
  <c r="H111" i="16"/>
  <c r="E98" i="16"/>
  <c r="C267" i="16" s="1"/>
  <c r="E97" i="16"/>
  <c r="C264" i="16" s="1"/>
  <c r="E96" i="16"/>
  <c r="E92" i="16"/>
  <c r="E93" i="16" s="1"/>
  <c r="E84" i="16"/>
  <c r="E83" i="16"/>
  <c r="E82" i="16"/>
  <c r="E78" i="16"/>
  <c r="E77" i="16"/>
  <c r="E76" i="16"/>
  <c r="BQ63" i="16"/>
  <c r="BO63" i="16"/>
  <c r="BM63" i="16"/>
  <c r="BK63" i="16"/>
  <c r="BI63" i="16"/>
  <c r="BG63" i="16"/>
  <c r="BE63" i="16"/>
  <c r="BC63" i="16"/>
  <c r="BA63" i="16"/>
  <c r="AY63" i="16"/>
  <c r="AW63" i="16"/>
  <c r="AU63" i="16"/>
  <c r="AS63" i="16"/>
  <c r="AQ63" i="16"/>
  <c r="AO63" i="16"/>
  <c r="AM63" i="16"/>
  <c r="AK63" i="16"/>
  <c r="AI63" i="16"/>
  <c r="AG63" i="16"/>
  <c r="AE63" i="16"/>
  <c r="AC63" i="16"/>
  <c r="AA63" i="16"/>
  <c r="Y63" i="16"/>
  <c r="W63" i="16"/>
  <c r="U63" i="16"/>
  <c r="S63" i="16"/>
  <c r="Q63" i="16"/>
  <c r="O63" i="16"/>
  <c r="M63" i="16"/>
  <c r="K63" i="16"/>
  <c r="I63" i="16"/>
  <c r="G63" i="16"/>
  <c r="E63" i="16"/>
  <c r="BP62" i="16"/>
  <c r="BN62" i="16"/>
  <c r="BL62" i="16"/>
  <c r="BJ62" i="16"/>
  <c r="BH62" i="16"/>
  <c r="BF62" i="16"/>
  <c r="BD62" i="16"/>
  <c r="BB62" i="16"/>
  <c r="AZ62" i="16"/>
  <c r="AX62" i="16"/>
  <c r="AV62" i="16"/>
  <c r="AT62" i="16"/>
  <c r="AR62" i="16"/>
  <c r="AP62" i="16"/>
  <c r="AQ64" i="16" s="1"/>
  <c r="AN62" i="16"/>
  <c r="AL62" i="16"/>
  <c r="AJ62" i="16"/>
  <c r="AH62" i="16"/>
  <c r="AF62" i="16"/>
  <c r="AD62" i="16"/>
  <c r="AB62" i="16"/>
  <c r="Z62" i="16"/>
  <c r="X62" i="16"/>
  <c r="V62" i="16"/>
  <c r="T62" i="16"/>
  <c r="R62" i="16"/>
  <c r="P62" i="16"/>
  <c r="N62" i="16"/>
  <c r="L62" i="16"/>
  <c r="J62" i="16"/>
  <c r="H62" i="16"/>
  <c r="D62" i="16"/>
  <c r="BR61" i="16"/>
  <c r="BR60" i="16"/>
  <c r="BR59" i="16"/>
  <c r="BR58" i="16"/>
  <c r="BR57" i="16"/>
  <c r="BR56" i="16"/>
  <c r="BR55" i="16"/>
  <c r="BR54" i="16"/>
  <c r="BR53" i="16"/>
  <c r="BR52" i="16"/>
  <c r="BR51" i="16"/>
  <c r="BR50" i="16"/>
  <c r="BR49" i="16"/>
  <c r="BR48" i="16"/>
  <c r="BR47" i="16"/>
  <c r="BR46" i="16"/>
  <c r="BR45" i="16"/>
  <c r="BR44" i="16"/>
  <c r="BR43" i="16"/>
  <c r="BR42" i="16"/>
  <c r="BR41" i="16"/>
  <c r="BR40" i="16"/>
  <c r="BR39" i="16"/>
  <c r="BR38" i="16"/>
  <c r="BR37" i="16"/>
  <c r="BR36" i="16"/>
  <c r="BR35" i="16"/>
  <c r="BR34" i="16"/>
  <c r="BR33" i="16"/>
  <c r="BR32" i="16"/>
  <c r="BR31" i="16"/>
  <c r="BR30" i="16"/>
  <c r="BR29" i="16"/>
  <c r="BR28" i="16"/>
  <c r="BR27" i="16"/>
  <c r="BR26" i="16"/>
  <c r="BR25" i="16"/>
  <c r="BR24" i="16"/>
  <c r="F62" i="16"/>
  <c r="BR22" i="16"/>
  <c r="BR21" i="16"/>
  <c r="BR20" i="16"/>
  <c r="BR19" i="16"/>
  <c r="BR18" i="16"/>
  <c r="BR17" i="16"/>
  <c r="BR16" i="16"/>
  <c r="BR15" i="16"/>
  <c r="BR13" i="16"/>
  <c r="BR12" i="16"/>
  <c r="BR11" i="16"/>
  <c r="BR10" i="16"/>
  <c r="BR9" i="16"/>
  <c r="BR8" i="16"/>
  <c r="D227" i="16"/>
  <c r="D228" i="16" s="1"/>
  <c r="D131" i="16" s="1"/>
  <c r="AS64" i="16"/>
  <c r="BA64" i="16"/>
  <c r="BA66" i="16" s="1"/>
  <c r="BP64" i="16"/>
  <c r="BP66" i="16" s="1"/>
  <c r="AU64" i="16"/>
  <c r="BH64" i="16"/>
  <c r="BH66" i="16" s="1"/>
  <c r="E64" i="16"/>
  <c r="D116" i="16"/>
  <c r="G116" i="16" s="1"/>
  <c r="H116" i="16" s="1"/>
  <c r="D120" i="16"/>
  <c r="G120" i="16" s="1"/>
  <c r="H120" i="16" s="1"/>
  <c r="D110" i="16"/>
  <c r="G110" i="16" s="1"/>
  <c r="H110" i="16" s="1"/>
  <c r="D78" i="16"/>
  <c r="BQ64" i="16"/>
  <c r="D96" i="16"/>
  <c r="D119" i="16"/>
  <c r="G119" i="16" s="1"/>
  <c r="H119" i="16" s="1"/>
  <c r="BR23" i="16"/>
  <c r="D124" i="16"/>
  <c r="G124" i="16" s="1"/>
  <c r="H124" i="16" s="1"/>
  <c r="D64" i="16"/>
  <c r="D66" i="16" s="1"/>
  <c r="L64" i="16"/>
  <c r="T64" i="16"/>
  <c r="AB64" i="16"/>
  <c r="AJ64" i="16"/>
  <c r="AR64" i="16"/>
  <c r="AR66" i="16" s="1"/>
  <c r="AZ64" i="16"/>
  <c r="C200" i="14"/>
  <c r="D202" i="14" s="1"/>
  <c r="D203" i="14" s="1"/>
  <c r="L125" i="14"/>
  <c r="K136" i="14" s="1"/>
  <c r="K138" i="14" s="1"/>
  <c r="D224" i="14"/>
  <c r="D183" i="14"/>
  <c r="D178" i="14"/>
  <c r="I142" i="14"/>
  <c r="F142" i="14"/>
  <c r="E142" i="14"/>
  <c r="D173" i="14"/>
  <c r="D163" i="14"/>
  <c r="D166" i="14" s="1"/>
  <c r="D158" i="14"/>
  <c r="E112" i="14"/>
  <c r="E111" i="14"/>
  <c r="E110" i="14"/>
  <c r="E106" i="14"/>
  <c r="E107" i="14" s="1"/>
  <c r="E98" i="14"/>
  <c r="E97" i="14"/>
  <c r="E96" i="14"/>
  <c r="E92" i="14"/>
  <c r="BF76" i="14"/>
  <c r="BG77" i="14"/>
  <c r="E91" i="14"/>
  <c r="E90" i="14"/>
  <c r="AH76" i="14"/>
  <c r="F29" i="14"/>
  <c r="F22" i="14"/>
  <c r="BR22" i="14" s="1"/>
  <c r="AB76" i="14"/>
  <c r="BR73" i="14"/>
  <c r="BR72" i="14"/>
  <c r="BR71" i="14"/>
  <c r="BR70" i="14"/>
  <c r="BR69" i="14"/>
  <c r="BR68" i="14"/>
  <c r="BR67" i="14"/>
  <c r="BR66" i="14"/>
  <c r="BR65" i="14"/>
  <c r="BR64" i="14"/>
  <c r="BR63" i="14"/>
  <c r="BR62" i="14"/>
  <c r="BR61" i="14"/>
  <c r="BR60" i="14"/>
  <c r="BR59" i="14"/>
  <c r="BR58" i="14"/>
  <c r="BR57" i="14"/>
  <c r="BR56" i="14"/>
  <c r="BR55" i="14"/>
  <c r="BR54" i="14"/>
  <c r="BR53" i="14"/>
  <c r="BR52" i="14"/>
  <c r="BR51" i="14"/>
  <c r="BR50" i="14"/>
  <c r="BR49" i="14"/>
  <c r="BR48" i="14"/>
  <c r="BR47" i="14"/>
  <c r="BR46" i="14"/>
  <c r="BR45" i="14"/>
  <c r="BR44" i="14"/>
  <c r="BR43" i="14"/>
  <c r="BR42" i="14"/>
  <c r="BR41" i="14"/>
  <c r="BR40" i="14"/>
  <c r="BR39" i="14"/>
  <c r="BR38" i="14"/>
  <c r="BR37" i="14"/>
  <c r="BR36" i="14"/>
  <c r="BR35" i="14"/>
  <c r="BR34" i="14"/>
  <c r="BR10" i="14"/>
  <c r="D221" i="15"/>
  <c r="BB76" i="15"/>
  <c r="BC8" i="15"/>
  <c r="BD76" i="15"/>
  <c r="BE77" i="15"/>
  <c r="D189" i="15"/>
  <c r="D174" i="15"/>
  <c r="D178" i="15" s="1"/>
  <c r="D76" i="15"/>
  <c r="E77" i="15"/>
  <c r="F76" i="15"/>
  <c r="G77" i="15"/>
  <c r="AH76" i="15"/>
  <c r="AI77" i="15"/>
  <c r="BF76" i="15"/>
  <c r="BG77" i="15"/>
  <c r="BP76" i="15"/>
  <c r="BQ77" i="15"/>
  <c r="BJ76" i="15"/>
  <c r="BK77" i="15"/>
  <c r="AT76" i="15"/>
  <c r="AU77" i="15"/>
  <c r="AV76" i="15"/>
  <c r="AW77" i="15"/>
  <c r="AX76" i="15"/>
  <c r="AY77" i="15"/>
  <c r="BN76" i="15"/>
  <c r="BO77" i="15"/>
  <c r="AZ76" i="15"/>
  <c r="BA77" i="15"/>
  <c r="AJ76" i="15"/>
  <c r="AK77" i="15"/>
  <c r="AL76" i="15"/>
  <c r="AM77" i="15"/>
  <c r="AF76" i="15"/>
  <c r="AG77" i="15"/>
  <c r="AN76" i="15"/>
  <c r="AO77" i="15"/>
  <c r="H76" i="15"/>
  <c r="I77" i="15"/>
  <c r="J76" i="15"/>
  <c r="K77" i="15"/>
  <c r="L76" i="15"/>
  <c r="M77" i="15"/>
  <c r="N76" i="15"/>
  <c r="O77" i="15"/>
  <c r="P76" i="15"/>
  <c r="Q77" i="15"/>
  <c r="R76" i="15"/>
  <c r="S77" i="15"/>
  <c r="T76" i="15"/>
  <c r="U77" i="15"/>
  <c r="V76" i="15"/>
  <c r="W77" i="15"/>
  <c r="X76" i="15"/>
  <c r="Y77" i="15"/>
  <c r="Z76" i="15"/>
  <c r="AA77" i="15"/>
  <c r="AD76" i="15"/>
  <c r="AE77" i="15"/>
  <c r="AD78" i="15" s="1"/>
  <c r="I155" i="15"/>
  <c r="I135" i="15"/>
  <c r="I150" i="15"/>
  <c r="F155" i="15"/>
  <c r="F135" i="15"/>
  <c r="F150" i="15"/>
  <c r="E157" i="15"/>
  <c r="E150" i="15"/>
  <c r="H149" i="15"/>
  <c r="H147" i="15"/>
  <c r="E135" i="15"/>
  <c r="H134" i="15"/>
  <c r="H132" i="15"/>
  <c r="E112" i="15"/>
  <c r="E116" i="15"/>
  <c r="E119" i="15" s="1"/>
  <c r="E92" i="15"/>
  <c r="E95" i="15"/>
  <c r="E101" i="15"/>
  <c r="E102" i="15"/>
  <c r="E103" i="15"/>
  <c r="AR76" i="15"/>
  <c r="AS77" i="15"/>
  <c r="BH76" i="15"/>
  <c r="BI77" i="15"/>
  <c r="BL76" i="15"/>
  <c r="BM77" i="15"/>
  <c r="BR79" i="15"/>
  <c r="AP76" i="15"/>
  <c r="AQ77" i="15"/>
  <c r="AB76" i="15"/>
  <c r="AC77" i="15"/>
  <c r="BR75" i="15"/>
  <c r="BR74" i="15"/>
  <c r="BR73" i="15"/>
  <c r="BR72" i="15"/>
  <c r="BR71" i="15"/>
  <c r="BR70" i="15"/>
  <c r="BR69" i="15"/>
  <c r="BR68" i="15"/>
  <c r="BR67" i="15"/>
  <c r="BR66" i="15"/>
  <c r="BR65" i="15"/>
  <c r="BR64" i="15"/>
  <c r="BR63" i="15"/>
  <c r="BR62" i="15"/>
  <c r="BR61" i="15"/>
  <c r="BR33" i="15"/>
  <c r="BR32" i="15"/>
  <c r="BR31" i="15"/>
  <c r="BR30" i="15"/>
  <c r="BR29" i="15"/>
  <c r="BR28" i="15"/>
  <c r="BR27" i="15"/>
  <c r="BR26" i="15"/>
  <c r="BR25" i="15"/>
  <c r="BR24" i="15"/>
  <c r="BR23" i="15"/>
  <c r="BR22" i="15"/>
  <c r="BR21" i="15"/>
  <c r="BR20" i="15"/>
  <c r="BR19" i="15"/>
  <c r="BR18" i="15"/>
  <c r="BR17" i="15"/>
  <c r="BR16" i="15"/>
  <c r="BR15" i="15"/>
  <c r="BR14" i="15"/>
  <c r="BR13" i="15"/>
  <c r="BR12" i="15"/>
  <c r="BR11" i="15"/>
  <c r="BR10" i="15"/>
  <c r="BR9" i="15"/>
  <c r="BC77" i="14"/>
  <c r="BB76" i="14"/>
  <c r="BD76" i="14"/>
  <c r="BE77" i="14"/>
  <c r="BR33" i="14"/>
  <c r="D189" i="14"/>
  <c r="D76" i="14"/>
  <c r="E77" i="14"/>
  <c r="G77" i="14"/>
  <c r="AI77" i="14"/>
  <c r="BP76" i="14"/>
  <c r="BQ77" i="14"/>
  <c r="BJ76" i="14"/>
  <c r="BK77" i="14"/>
  <c r="AT76" i="14"/>
  <c r="AU77" i="14"/>
  <c r="AV76" i="14"/>
  <c r="AW77" i="14"/>
  <c r="AX76" i="14"/>
  <c r="AY77" i="14"/>
  <c r="AR76" i="14"/>
  <c r="AS77" i="14"/>
  <c r="BN76" i="14"/>
  <c r="BO77" i="14"/>
  <c r="BL76" i="14"/>
  <c r="BM77" i="14"/>
  <c r="AZ76" i="14"/>
  <c r="BA77" i="14"/>
  <c r="AJ76" i="14"/>
  <c r="AK77" i="14"/>
  <c r="AL76" i="14"/>
  <c r="AM77" i="14"/>
  <c r="AF76" i="14"/>
  <c r="AG77" i="14"/>
  <c r="AN76" i="14"/>
  <c r="AO77" i="14"/>
  <c r="H76" i="14"/>
  <c r="I77" i="14"/>
  <c r="J76" i="14"/>
  <c r="K77" i="14"/>
  <c r="L76" i="14"/>
  <c r="M77" i="14"/>
  <c r="N76" i="14"/>
  <c r="O77" i="14"/>
  <c r="P76" i="14"/>
  <c r="Q77" i="14"/>
  <c r="R76" i="14"/>
  <c r="S77" i="14"/>
  <c r="T76" i="14"/>
  <c r="U77" i="14"/>
  <c r="V76" i="14"/>
  <c r="W77" i="14"/>
  <c r="X76" i="14"/>
  <c r="Y77" i="14"/>
  <c r="AC77" i="14"/>
  <c r="Z76" i="14"/>
  <c r="AA77" i="14"/>
  <c r="AD76" i="14"/>
  <c r="AE77" i="14"/>
  <c r="I147" i="14"/>
  <c r="I128" i="14"/>
  <c r="F147" i="14"/>
  <c r="F128" i="14"/>
  <c r="E149" i="14"/>
  <c r="E128" i="14"/>
  <c r="H141" i="14"/>
  <c r="H138" i="14"/>
  <c r="H127" i="14"/>
  <c r="BH76" i="14"/>
  <c r="BI77" i="14"/>
  <c r="BR79" i="14"/>
  <c r="AP76" i="14"/>
  <c r="AQ77" i="14"/>
  <c r="BR75" i="14"/>
  <c r="BR74" i="14"/>
  <c r="BR32" i="14"/>
  <c r="BR31" i="14"/>
  <c r="BR30" i="14"/>
  <c r="BR28" i="14"/>
  <c r="BR27" i="14"/>
  <c r="BR26" i="14"/>
  <c r="BR25" i="14"/>
  <c r="BR24" i="14"/>
  <c r="BR23" i="14"/>
  <c r="BR21" i="14"/>
  <c r="BR20" i="14"/>
  <c r="BR19" i="14"/>
  <c r="BR18" i="14"/>
  <c r="BR17" i="14"/>
  <c r="BR16" i="14"/>
  <c r="BR15" i="14"/>
  <c r="BR14" i="14"/>
  <c r="BR13" i="14"/>
  <c r="BR12" i="14"/>
  <c r="BR11" i="14"/>
  <c r="BR9" i="14"/>
  <c r="BR8" i="14"/>
  <c r="D179" i="13"/>
  <c r="BR13" i="13"/>
  <c r="E94" i="13"/>
  <c r="F158" i="13"/>
  <c r="H136" i="13"/>
  <c r="F137" i="13"/>
  <c r="D193" i="13"/>
  <c r="D185" i="13"/>
  <c r="D180" i="13"/>
  <c r="E160" i="13"/>
  <c r="I158" i="13"/>
  <c r="I153" i="13"/>
  <c r="F153" i="13"/>
  <c r="E153" i="13"/>
  <c r="I137" i="13"/>
  <c r="E137" i="13"/>
  <c r="E120" i="13"/>
  <c r="E119" i="13"/>
  <c r="E118" i="13"/>
  <c r="E113" i="13"/>
  <c r="E112" i="13"/>
  <c r="E103" i="13"/>
  <c r="E102" i="13"/>
  <c r="E101" i="13"/>
  <c r="E95" i="13"/>
  <c r="E93" i="13"/>
  <c r="E92" i="13"/>
  <c r="E91" i="13"/>
  <c r="E90" i="13"/>
  <c r="BR79" i="13"/>
  <c r="BQ77" i="13"/>
  <c r="BO77" i="13"/>
  <c r="BM77" i="13"/>
  <c r="BK77" i="13"/>
  <c r="BI77" i="13"/>
  <c r="BG77" i="13"/>
  <c r="BE77" i="13"/>
  <c r="BC77" i="13"/>
  <c r="BA77" i="13"/>
  <c r="AY77" i="13"/>
  <c r="AW77" i="13"/>
  <c r="AU77" i="13"/>
  <c r="AS77" i="13"/>
  <c r="AQ77" i="13"/>
  <c r="AO77" i="13"/>
  <c r="AM77" i="13"/>
  <c r="AK77" i="13"/>
  <c r="AI77" i="13"/>
  <c r="AG77" i="13"/>
  <c r="AE77" i="13"/>
  <c r="AC77" i="13"/>
  <c r="AA77" i="13"/>
  <c r="Y77" i="13"/>
  <c r="W77" i="13"/>
  <c r="U77" i="13"/>
  <c r="S77" i="13"/>
  <c r="Q77" i="13"/>
  <c r="O77" i="13"/>
  <c r="M77" i="13"/>
  <c r="K77" i="13"/>
  <c r="I77" i="13"/>
  <c r="G77" i="13"/>
  <c r="E77" i="13"/>
  <c r="BP76" i="13"/>
  <c r="BN76" i="13"/>
  <c r="BL76" i="13"/>
  <c r="BJ76" i="13"/>
  <c r="BH76" i="13"/>
  <c r="BF76" i="13"/>
  <c r="BD76" i="13"/>
  <c r="BB76" i="13"/>
  <c r="AZ76" i="13"/>
  <c r="AX76" i="13"/>
  <c r="AV76" i="13"/>
  <c r="AT76" i="13"/>
  <c r="AR76" i="13"/>
  <c r="AP76" i="13"/>
  <c r="AN76" i="13"/>
  <c r="AL76" i="13"/>
  <c r="H135" i="13"/>
  <c r="AJ76" i="13"/>
  <c r="AH76" i="13"/>
  <c r="AF76" i="13"/>
  <c r="AD76" i="13"/>
  <c r="H152" i="13"/>
  <c r="AB76" i="13"/>
  <c r="H149" i="13"/>
  <c r="Z76" i="13"/>
  <c r="H150" i="13"/>
  <c r="X76" i="13"/>
  <c r="V76" i="13"/>
  <c r="T76" i="13"/>
  <c r="R76" i="13"/>
  <c r="P76" i="13"/>
  <c r="N76" i="13"/>
  <c r="L76" i="13"/>
  <c r="J76" i="13"/>
  <c r="H76" i="13"/>
  <c r="D76" i="13"/>
  <c r="BR75" i="13"/>
  <c r="BR74" i="13"/>
  <c r="BR73" i="13"/>
  <c r="BR72" i="13"/>
  <c r="BR71" i="13"/>
  <c r="BR70" i="13"/>
  <c r="BR69" i="13"/>
  <c r="BR68" i="13"/>
  <c r="BR67" i="13"/>
  <c r="BR66" i="13"/>
  <c r="BR65" i="13"/>
  <c r="BR64" i="13"/>
  <c r="BR63" i="13"/>
  <c r="BR62" i="13"/>
  <c r="BR61" i="13"/>
  <c r="BR32" i="13"/>
  <c r="BR31" i="13"/>
  <c r="BR30" i="13"/>
  <c r="BR29" i="13"/>
  <c r="BR28" i="13"/>
  <c r="BR27" i="13"/>
  <c r="BR26" i="13"/>
  <c r="BR25" i="13"/>
  <c r="BR24" i="13"/>
  <c r="BR23" i="13"/>
  <c r="BR22" i="13"/>
  <c r="BR21" i="13"/>
  <c r="BR20" i="13"/>
  <c r="BR19" i="13"/>
  <c r="BR18" i="13"/>
  <c r="BR17" i="13"/>
  <c r="BR16" i="13"/>
  <c r="BR15" i="13"/>
  <c r="F76" i="13"/>
  <c r="G78" i="13" s="1"/>
  <c r="BR14" i="13"/>
  <c r="BR12" i="13"/>
  <c r="BR11" i="13"/>
  <c r="BR10" i="13"/>
  <c r="BR9" i="13"/>
  <c r="BR8" i="13"/>
  <c r="BR49" i="11"/>
  <c r="D46" i="11"/>
  <c r="E47" i="11"/>
  <c r="F13" i="11"/>
  <c r="F20" i="11"/>
  <c r="F25" i="11"/>
  <c r="BR25" i="11" s="1"/>
  <c r="F29" i="11"/>
  <c r="BR29" i="11" s="1"/>
  <c r="F32" i="11"/>
  <c r="BR32" i="11" s="1"/>
  <c r="G47" i="11"/>
  <c r="AH46" i="11"/>
  <c r="AI47" i="11"/>
  <c r="AR46" i="11"/>
  <c r="AS47" i="11"/>
  <c r="AT46" i="11"/>
  <c r="AU47" i="11"/>
  <c r="AV46" i="11"/>
  <c r="AW47" i="11"/>
  <c r="AX46" i="11"/>
  <c r="AY47" i="11"/>
  <c r="AZ46" i="11"/>
  <c r="BA47" i="11"/>
  <c r="BB46" i="11"/>
  <c r="BC47" i="11"/>
  <c r="BD46" i="11"/>
  <c r="BD48" i="11" s="1"/>
  <c r="BE47" i="11"/>
  <c r="BF46" i="11"/>
  <c r="D180" i="11" s="1"/>
  <c r="BG47" i="11"/>
  <c r="BH46" i="11"/>
  <c r="BI48" i="11" s="1"/>
  <c r="BI47" i="11"/>
  <c r="BJ46" i="11"/>
  <c r="BK47" i="11"/>
  <c r="BL46" i="11"/>
  <c r="BM47" i="11"/>
  <c r="BN46" i="11"/>
  <c r="BO47" i="11"/>
  <c r="BP46" i="11"/>
  <c r="BQ47" i="11"/>
  <c r="D188" i="11"/>
  <c r="D193" i="11"/>
  <c r="D175" i="11"/>
  <c r="D168" i="11"/>
  <c r="D162" i="11"/>
  <c r="D155" i="11"/>
  <c r="D146" i="11"/>
  <c r="D140" i="11"/>
  <c r="D181" i="11" s="1"/>
  <c r="BR40" i="11"/>
  <c r="BR39" i="11"/>
  <c r="BR38" i="11"/>
  <c r="BR37" i="11"/>
  <c r="BR36" i="11"/>
  <c r="BR35" i="11"/>
  <c r="BR34" i="11"/>
  <c r="BR33" i="11"/>
  <c r="BR31" i="11"/>
  <c r="BR30" i="11"/>
  <c r="BR28" i="11"/>
  <c r="BR27" i="11"/>
  <c r="BR26" i="11"/>
  <c r="BR24" i="11"/>
  <c r="BR23" i="11"/>
  <c r="BR22" i="11"/>
  <c r="BR21" i="11"/>
  <c r="BR19" i="11"/>
  <c r="BR18" i="11"/>
  <c r="BR17" i="11"/>
  <c r="BR16" i="11"/>
  <c r="BR15" i="11"/>
  <c r="BR14" i="11"/>
  <c r="BR12" i="11"/>
  <c r="BR11" i="11"/>
  <c r="BR10" i="11"/>
  <c r="BR9" i="11"/>
  <c r="BR8" i="11"/>
  <c r="BR7" i="11"/>
  <c r="BR6" i="11"/>
  <c r="BR45" i="11"/>
  <c r="BR44" i="11"/>
  <c r="BR43" i="11"/>
  <c r="BR42" i="11"/>
  <c r="D179" i="11"/>
  <c r="BR41" i="11"/>
  <c r="AA47" i="11"/>
  <c r="Z46" i="11"/>
  <c r="AC47" i="11"/>
  <c r="AB46" i="11"/>
  <c r="BR20" i="11"/>
  <c r="F129" i="11"/>
  <c r="F122" i="11"/>
  <c r="F124" i="11" s="1"/>
  <c r="AX43" i="10"/>
  <c r="AY44" i="10"/>
  <c r="BB43" i="10"/>
  <c r="BC44" i="10"/>
  <c r="BH43" i="10"/>
  <c r="BI44" i="10"/>
  <c r="BF43" i="10"/>
  <c r="BG44" i="10"/>
  <c r="BD43" i="10"/>
  <c r="BE44" i="10"/>
  <c r="AV43" i="10"/>
  <c r="AW44" i="10"/>
  <c r="AT43" i="10"/>
  <c r="AU44" i="10"/>
  <c r="AP43" i="10"/>
  <c r="AQ44" i="10"/>
  <c r="AN43" i="10"/>
  <c r="AO44" i="10"/>
  <c r="F43" i="10"/>
  <c r="G44" i="10"/>
  <c r="D43" i="10"/>
  <c r="E44" i="10"/>
  <c r="D57" i="10" s="1"/>
  <c r="E129" i="11"/>
  <c r="E122" i="11"/>
  <c r="E107" i="11"/>
  <c r="I127" i="11"/>
  <c r="I122" i="11"/>
  <c r="I107" i="11"/>
  <c r="E90" i="11"/>
  <c r="E89" i="11"/>
  <c r="E88" i="11"/>
  <c r="E83" i="11"/>
  <c r="E84" i="11" s="1"/>
  <c r="E82" i="11"/>
  <c r="E73" i="11"/>
  <c r="E72" i="11"/>
  <c r="E71" i="11"/>
  <c r="E65" i="11"/>
  <c r="E63" i="11"/>
  <c r="E62" i="11"/>
  <c r="E61" i="11"/>
  <c r="E60" i="11"/>
  <c r="AQ47" i="11"/>
  <c r="AO47" i="11"/>
  <c r="AM47" i="11"/>
  <c r="AK47" i="11"/>
  <c r="AG47" i="11"/>
  <c r="AE47" i="11"/>
  <c r="Y47" i="11"/>
  <c r="D118" i="11" s="1"/>
  <c r="G118" i="11" s="1"/>
  <c r="H118" i="11" s="1"/>
  <c r="X46" i="11"/>
  <c r="W47" i="11"/>
  <c r="U47" i="11"/>
  <c r="S47" i="11"/>
  <c r="R46" i="11"/>
  <c r="Q47" i="11"/>
  <c r="O47" i="11"/>
  <c r="M47" i="11"/>
  <c r="K47" i="11"/>
  <c r="I47" i="11"/>
  <c r="AP46" i="11"/>
  <c r="AN46" i="11"/>
  <c r="AL46" i="11"/>
  <c r="AJ46" i="11"/>
  <c r="AF46" i="11"/>
  <c r="AD46" i="11"/>
  <c r="V46" i="11"/>
  <c r="T46" i="11"/>
  <c r="P46" i="11"/>
  <c r="N46" i="11"/>
  <c r="L46" i="11"/>
  <c r="J46" i="11"/>
  <c r="H46" i="11"/>
  <c r="H116" i="10"/>
  <c r="G116" i="10"/>
  <c r="H115" i="10"/>
  <c r="G115" i="10"/>
  <c r="E79" i="10"/>
  <c r="D139" i="10"/>
  <c r="E118" i="10"/>
  <c r="AA44" i="10"/>
  <c r="Z43" i="10"/>
  <c r="BL42" i="10"/>
  <c r="BL41" i="10"/>
  <c r="BL40" i="10"/>
  <c r="BL39" i="10"/>
  <c r="BL38" i="10"/>
  <c r="BL37" i="10"/>
  <c r="BL36" i="10"/>
  <c r="BL35" i="10"/>
  <c r="BL34" i="10"/>
  <c r="BL33" i="10"/>
  <c r="BL32" i="10"/>
  <c r="BL31" i="10"/>
  <c r="BL30" i="10"/>
  <c r="BL29" i="10"/>
  <c r="BL28" i="10"/>
  <c r="BL27" i="10"/>
  <c r="BL26" i="10"/>
  <c r="BL25" i="10"/>
  <c r="BL24" i="10"/>
  <c r="BL23" i="10"/>
  <c r="BL22" i="10"/>
  <c r="BL21" i="10"/>
  <c r="BL20" i="10"/>
  <c r="BL19" i="10"/>
  <c r="BL18" i="10"/>
  <c r="BL17" i="10"/>
  <c r="BL16" i="10"/>
  <c r="BL15" i="10"/>
  <c r="BL14" i="10"/>
  <c r="BL13" i="10"/>
  <c r="BL12" i="10"/>
  <c r="BL11" i="10"/>
  <c r="BL10" i="10"/>
  <c r="BL9" i="10"/>
  <c r="BL7" i="10"/>
  <c r="I123" i="10"/>
  <c r="BJ58" i="9"/>
  <c r="I147" i="10"/>
  <c r="I144" i="10"/>
  <c r="I118" i="10"/>
  <c r="I103" i="10"/>
  <c r="E86" i="10"/>
  <c r="E85" i="10"/>
  <c r="E84" i="10"/>
  <c r="E78" i="10"/>
  <c r="E70" i="10"/>
  <c r="E69" i="10"/>
  <c r="E68" i="10"/>
  <c r="E62" i="10"/>
  <c r="E60" i="10"/>
  <c r="E59" i="10"/>
  <c r="E58" i="10"/>
  <c r="E57" i="10"/>
  <c r="BK44" i="10"/>
  <c r="BA44" i="10"/>
  <c r="AS44" i="10"/>
  <c r="AM44" i="10"/>
  <c r="AK44" i="10"/>
  <c r="AI44" i="10"/>
  <c r="AG44" i="10"/>
  <c r="AE44" i="10"/>
  <c r="AC44" i="10"/>
  <c r="Y44" i="10"/>
  <c r="W44" i="10"/>
  <c r="U44" i="10"/>
  <c r="S44" i="10"/>
  <c r="Q44" i="10"/>
  <c r="O44" i="10"/>
  <c r="M44" i="10"/>
  <c r="K44" i="10"/>
  <c r="I44" i="10"/>
  <c r="BJ43" i="10"/>
  <c r="AZ43" i="10"/>
  <c r="AR43" i="10"/>
  <c r="AL43" i="10"/>
  <c r="AJ43" i="10"/>
  <c r="AH43" i="10"/>
  <c r="AF43" i="10"/>
  <c r="AD43" i="10"/>
  <c r="AB43" i="10"/>
  <c r="X43" i="10"/>
  <c r="V43" i="10"/>
  <c r="T43" i="10"/>
  <c r="U45" i="10" s="1"/>
  <c r="R43" i="10"/>
  <c r="P43" i="10"/>
  <c r="N43" i="10"/>
  <c r="L43" i="10"/>
  <c r="J43" i="10"/>
  <c r="H43" i="10"/>
  <c r="I126" i="9"/>
  <c r="I113" i="9"/>
  <c r="D143" i="9"/>
  <c r="D142" i="9"/>
  <c r="D144" i="9"/>
  <c r="D145" i="9"/>
  <c r="BJ54" i="9"/>
  <c r="BJ53" i="9"/>
  <c r="BJ52" i="9"/>
  <c r="BJ51" i="9"/>
  <c r="BJ50" i="9"/>
  <c r="BJ49" i="9"/>
  <c r="BJ48" i="9"/>
  <c r="BJ47" i="9"/>
  <c r="BJ46" i="9"/>
  <c r="BJ45" i="9"/>
  <c r="BJ44" i="9"/>
  <c r="BJ43" i="9"/>
  <c r="BJ42" i="9"/>
  <c r="BJ41" i="9"/>
  <c r="BJ40" i="9"/>
  <c r="BJ39" i="9"/>
  <c r="BJ38" i="9"/>
  <c r="BJ37" i="9"/>
  <c r="BJ36" i="9"/>
  <c r="BJ35" i="9"/>
  <c r="BJ34" i="9"/>
  <c r="BJ33" i="9"/>
  <c r="BJ32" i="9"/>
  <c r="BJ31" i="9"/>
  <c r="BJ30" i="9"/>
  <c r="BJ29" i="9"/>
  <c r="BJ28" i="9"/>
  <c r="BJ27" i="9"/>
  <c r="BJ26" i="9"/>
  <c r="BJ25" i="9"/>
  <c r="BJ24" i="9"/>
  <c r="BJ23" i="9"/>
  <c r="BJ22" i="9"/>
  <c r="BJ21" i="9"/>
  <c r="BJ20" i="9"/>
  <c r="BJ19" i="9"/>
  <c r="BJ18" i="9"/>
  <c r="BJ17" i="9"/>
  <c r="BJ16" i="9"/>
  <c r="BJ15" i="9"/>
  <c r="BJ14" i="9"/>
  <c r="BJ13" i="9"/>
  <c r="BJ12" i="9"/>
  <c r="BJ11" i="9"/>
  <c r="BJ10" i="9"/>
  <c r="BJ9" i="9"/>
  <c r="BJ8" i="9"/>
  <c r="BJ7" i="9"/>
  <c r="AY56" i="9"/>
  <c r="AX55" i="9"/>
  <c r="F126" i="9"/>
  <c r="BI56" i="9"/>
  <c r="BG56" i="9"/>
  <c r="BE56" i="9"/>
  <c r="BC56" i="9"/>
  <c r="BA56" i="9"/>
  <c r="AW56" i="9"/>
  <c r="AU56" i="9"/>
  <c r="AS56" i="9"/>
  <c r="AQ56" i="9"/>
  <c r="AO56" i="9"/>
  <c r="AM56" i="9"/>
  <c r="AK56" i="9"/>
  <c r="AI56" i="9"/>
  <c r="AG56" i="9"/>
  <c r="AE56" i="9"/>
  <c r="AC56" i="9"/>
  <c r="AA56" i="9"/>
  <c r="Y56" i="9"/>
  <c r="W56" i="9"/>
  <c r="U56" i="9"/>
  <c r="S56" i="9"/>
  <c r="Q56" i="9"/>
  <c r="O56" i="9"/>
  <c r="M56" i="9"/>
  <c r="K56" i="9"/>
  <c r="I56" i="9"/>
  <c r="G56" i="9"/>
  <c r="BH55" i="9"/>
  <c r="BF55" i="9"/>
  <c r="BD55" i="9"/>
  <c r="BB55" i="9"/>
  <c r="AZ55" i="9"/>
  <c r="AV55" i="9"/>
  <c r="AT55" i="9"/>
  <c r="AR55" i="9"/>
  <c r="AP55" i="9"/>
  <c r="AN55" i="9"/>
  <c r="AL55" i="9"/>
  <c r="AJ55" i="9"/>
  <c r="AH55" i="9"/>
  <c r="AF55" i="9"/>
  <c r="AD55" i="9"/>
  <c r="AB55" i="9"/>
  <c r="Z55" i="9"/>
  <c r="X55" i="9"/>
  <c r="V55" i="9"/>
  <c r="D123" i="9" s="1"/>
  <c r="G123" i="9" s="1"/>
  <c r="H123" i="9" s="1"/>
  <c r="T55" i="9"/>
  <c r="R55" i="9"/>
  <c r="P55" i="9"/>
  <c r="N55" i="9"/>
  <c r="L55" i="9"/>
  <c r="J55" i="9"/>
  <c r="H55" i="9"/>
  <c r="F55" i="9"/>
  <c r="E56" i="9"/>
  <c r="D55" i="9"/>
  <c r="AG9" i="7"/>
  <c r="AN9" i="7" s="1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N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8" i="7"/>
  <c r="AN69" i="7"/>
  <c r="AN70" i="7"/>
  <c r="AN71" i="7"/>
  <c r="AN72" i="7"/>
  <c r="AN73" i="7"/>
  <c r="AN74" i="7"/>
  <c r="AN75" i="7"/>
  <c r="AN76" i="7"/>
  <c r="AN77" i="7"/>
  <c r="AN78" i="7"/>
  <c r="AN79" i="7"/>
  <c r="AN80" i="7"/>
  <c r="AN81" i="7"/>
  <c r="AN82" i="7"/>
  <c r="AN83" i="7"/>
  <c r="AN84" i="7"/>
  <c r="AN85" i="7"/>
  <c r="AN86" i="7"/>
  <c r="AN87" i="7"/>
  <c r="AN88" i="7"/>
  <c r="AN89" i="7"/>
  <c r="G90" i="7"/>
  <c r="G106" i="7" s="1"/>
  <c r="J90" i="7"/>
  <c r="AN91" i="7"/>
  <c r="AN92" i="7"/>
  <c r="J93" i="7"/>
  <c r="AN94" i="7"/>
  <c r="AN95" i="7"/>
  <c r="S96" i="7"/>
  <c r="AN97" i="7"/>
  <c r="AN98" i="7"/>
  <c r="AN99" i="7"/>
  <c r="AN100" i="7"/>
  <c r="J101" i="7"/>
  <c r="AN102" i="7"/>
  <c r="AN103" i="7"/>
  <c r="AN104" i="7"/>
  <c r="D105" i="7"/>
  <c r="F105" i="7"/>
  <c r="H105" i="7"/>
  <c r="L105" i="7"/>
  <c r="M105" i="7"/>
  <c r="N105" i="7"/>
  <c r="P105" i="7"/>
  <c r="R105" i="7"/>
  <c r="T105" i="7"/>
  <c r="V105" i="7"/>
  <c r="X105" i="7"/>
  <c r="Z105" i="7"/>
  <c r="AB105" i="7"/>
  <c r="AD105" i="7"/>
  <c r="AF105" i="7"/>
  <c r="AH105" i="7"/>
  <c r="AK105" i="7"/>
  <c r="AM105" i="7"/>
  <c r="E106" i="7"/>
  <c r="I106" i="7"/>
  <c r="K106" i="7"/>
  <c r="O107" i="7"/>
  <c r="D166" i="7" s="1"/>
  <c r="O106" i="7"/>
  <c r="Q106" i="7"/>
  <c r="U106" i="7"/>
  <c r="W106" i="7"/>
  <c r="Y106" i="7"/>
  <c r="AA106" i="7"/>
  <c r="AC106" i="7"/>
  <c r="AC107" i="7" s="1"/>
  <c r="AE106" i="7"/>
  <c r="AE107" i="7" s="1"/>
  <c r="D144" i="7" s="1"/>
  <c r="AI106" i="7"/>
  <c r="AJ106" i="7"/>
  <c r="AL106" i="7"/>
  <c r="Q107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D118" i="7"/>
  <c r="D119" i="7"/>
  <c r="D120" i="7"/>
  <c r="D121" i="7"/>
  <c r="D122" i="7"/>
  <c r="E123" i="7"/>
  <c r="E131" i="7"/>
  <c r="E139" i="7"/>
  <c r="E146" i="7"/>
  <c r="D167" i="7"/>
  <c r="G169" i="7"/>
  <c r="E170" i="7"/>
  <c r="E185" i="7"/>
  <c r="F170" i="7"/>
  <c r="H170" i="7"/>
  <c r="D173" i="7"/>
  <c r="G173" i="7" s="1"/>
  <c r="D174" i="7"/>
  <c r="G174" i="7" s="1"/>
  <c r="D176" i="7"/>
  <c r="G176" i="7" s="1"/>
  <c r="D177" i="7"/>
  <c r="G177" i="7" s="1"/>
  <c r="D178" i="7"/>
  <c r="G178" i="7" s="1"/>
  <c r="D180" i="7"/>
  <c r="G180" i="7" s="1"/>
  <c r="G182" i="7"/>
  <c r="D183" i="7"/>
  <c r="G183" i="7" s="1"/>
  <c r="D184" i="7"/>
  <c r="G184" i="7" s="1"/>
  <c r="Q184" i="7"/>
  <c r="F185" i="7"/>
  <c r="H185" i="7"/>
  <c r="D190" i="7"/>
  <c r="G190" i="7" s="1"/>
  <c r="E192" i="7"/>
  <c r="N196" i="7"/>
  <c r="N197" i="7"/>
  <c r="G201" i="7"/>
  <c r="G208" i="7"/>
  <c r="F211" i="7"/>
  <c r="D212" i="7"/>
  <c r="F212" i="7"/>
  <c r="F213" i="7"/>
  <c r="D214" i="7"/>
  <c r="F214" i="7"/>
  <c r="F215" i="7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G43" i="2"/>
  <c r="AH43" i="2"/>
  <c r="AJ44" i="2"/>
  <c r="AJ45" i="2"/>
  <c r="AJ46" i="2"/>
  <c r="J47" i="2"/>
  <c r="AJ48" i="2"/>
  <c r="AJ49" i="2"/>
  <c r="AJ50" i="2"/>
  <c r="AJ51" i="2"/>
  <c r="AJ52" i="2"/>
  <c r="AJ53" i="2"/>
  <c r="AJ54" i="2"/>
  <c r="AJ55" i="2"/>
  <c r="AJ56" i="2"/>
  <c r="AJ57" i="2"/>
  <c r="AJ58" i="2"/>
  <c r="J59" i="2"/>
  <c r="AJ59" i="2" s="1"/>
  <c r="AJ60" i="2"/>
  <c r="AJ61" i="2"/>
  <c r="AJ62" i="2"/>
  <c r="D63" i="2"/>
  <c r="F63" i="2"/>
  <c r="H63" i="2"/>
  <c r="H65" i="2" s="1"/>
  <c r="D79" i="2" s="1"/>
  <c r="I64" i="2"/>
  <c r="L63" i="2"/>
  <c r="N63" i="2"/>
  <c r="O64" i="2"/>
  <c r="N65" i="2" s="1"/>
  <c r="D80" i="2" s="1"/>
  <c r="P63" i="2"/>
  <c r="R63" i="2"/>
  <c r="T63" i="2"/>
  <c r="V63" i="2"/>
  <c r="V65" i="2" s="1"/>
  <c r="D92" i="2" s="1"/>
  <c r="W64" i="2"/>
  <c r="X63" i="2"/>
  <c r="Y64" i="2"/>
  <c r="Z63" i="2"/>
  <c r="AB63" i="2"/>
  <c r="AD63" i="2"/>
  <c r="AF63" i="2"/>
  <c r="AI64" i="2"/>
  <c r="E64" i="2"/>
  <c r="D65" i="2" s="1"/>
  <c r="D77" i="2" s="1"/>
  <c r="K64" i="2"/>
  <c r="M64" i="2"/>
  <c r="Q64" i="2"/>
  <c r="S64" i="2"/>
  <c r="R65" i="2" s="1"/>
  <c r="D90" i="2" s="1"/>
  <c r="U64" i="2"/>
  <c r="AA64" i="2"/>
  <c r="AC64" i="2"/>
  <c r="AE64" i="2"/>
  <c r="AE65" i="2" s="1"/>
  <c r="AJ64" i="2" s="1"/>
  <c r="AG64" i="2"/>
  <c r="D81" i="2"/>
  <c r="D83" i="2"/>
  <c r="D84" i="2"/>
  <c r="K93" i="2"/>
  <c r="K100" i="2"/>
  <c r="D101" i="2"/>
  <c r="D102" i="2" s="1"/>
  <c r="D106" i="2"/>
  <c r="D107" i="2"/>
  <c r="D121" i="2"/>
  <c r="G122" i="2"/>
  <c r="D123" i="2"/>
  <c r="G123" i="2" s="1"/>
  <c r="G124" i="2"/>
  <c r="F125" i="2"/>
  <c r="H125" i="2"/>
  <c r="H139" i="2"/>
  <c r="D128" i="2"/>
  <c r="D129" i="2"/>
  <c r="G129" i="2" s="1"/>
  <c r="D130" i="2"/>
  <c r="G130" i="2" s="1"/>
  <c r="G132" i="2"/>
  <c r="D134" i="2"/>
  <c r="G134" i="2" s="1"/>
  <c r="G136" i="2"/>
  <c r="D138" i="2"/>
  <c r="G138" i="2" s="1"/>
  <c r="O138" i="2"/>
  <c r="F139" i="2"/>
  <c r="D144" i="2"/>
  <c r="G144" i="2"/>
  <c r="G145" i="2"/>
  <c r="G146" i="2"/>
  <c r="L151" i="2"/>
  <c r="G158" i="2"/>
  <c r="G165" i="2"/>
  <c r="D61" i="1"/>
  <c r="F61" i="1"/>
  <c r="G62" i="1"/>
  <c r="H61" i="1"/>
  <c r="J61" i="1"/>
  <c r="L61" i="1"/>
  <c r="M62" i="1"/>
  <c r="N61" i="1"/>
  <c r="O62" i="1"/>
  <c r="P61" i="1"/>
  <c r="R61" i="1"/>
  <c r="T61" i="1"/>
  <c r="U62" i="1"/>
  <c r="V61" i="1"/>
  <c r="W62" i="1"/>
  <c r="X61" i="1"/>
  <c r="Y62" i="1"/>
  <c r="Z61" i="1"/>
  <c r="AB61" i="1"/>
  <c r="AB63" i="1" s="1"/>
  <c r="AC62" i="1"/>
  <c r="AD61" i="1"/>
  <c r="AD63" i="1" s="1"/>
  <c r="E62" i="1"/>
  <c r="D63" i="1" s="1"/>
  <c r="E75" i="1" s="1"/>
  <c r="I62" i="1"/>
  <c r="K62" i="1"/>
  <c r="Q62" i="1"/>
  <c r="S62" i="1"/>
  <c r="AA62" i="1"/>
  <c r="D7" i="8"/>
  <c r="AP8" i="8"/>
  <c r="AP9" i="8"/>
  <c r="AP10" i="8"/>
  <c r="AP11" i="8"/>
  <c r="AP12" i="8"/>
  <c r="F13" i="8"/>
  <c r="F43" i="8" s="1"/>
  <c r="L13" i="8"/>
  <c r="P13" i="8"/>
  <c r="P43" i="8" s="1"/>
  <c r="R13" i="8"/>
  <c r="E69" i="8" s="1"/>
  <c r="T13" i="8"/>
  <c r="V13" i="8"/>
  <c r="E71" i="8" s="1"/>
  <c r="Y13" i="8"/>
  <c r="E84" i="8" s="1"/>
  <c r="AA13" i="8"/>
  <c r="E85" i="8" s="1"/>
  <c r="AC13" i="8"/>
  <c r="AC44" i="8" s="1"/>
  <c r="AD13" i="8"/>
  <c r="E60" i="8" s="1"/>
  <c r="AF13" i="8"/>
  <c r="E61" i="8" s="1"/>
  <c r="AH13" i="8"/>
  <c r="E62" i="8" s="1"/>
  <c r="AJ13" i="8"/>
  <c r="AJ43" i="8" s="1"/>
  <c r="AM13" i="8"/>
  <c r="E79" i="8" s="1"/>
  <c r="E80" i="8" s="1"/>
  <c r="AN13" i="8"/>
  <c r="AN43" i="8" s="1"/>
  <c r="AO13" i="8"/>
  <c r="AO44" i="8" s="1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P35" i="8"/>
  <c r="AP36" i="8"/>
  <c r="AP37" i="8"/>
  <c r="AP38" i="8"/>
  <c r="AP39" i="8"/>
  <c r="AP40" i="8"/>
  <c r="AP41" i="8"/>
  <c r="AP42" i="8"/>
  <c r="G44" i="8"/>
  <c r="H43" i="8"/>
  <c r="I44" i="8"/>
  <c r="J43" i="8"/>
  <c r="K44" i="8"/>
  <c r="N43" i="8"/>
  <c r="O44" i="8"/>
  <c r="Q44" i="8"/>
  <c r="Q45" i="8" s="1"/>
  <c r="S44" i="8"/>
  <c r="U44" i="8"/>
  <c r="W44" i="8"/>
  <c r="X43" i="8"/>
  <c r="Z43" i="8"/>
  <c r="AB43" i="8"/>
  <c r="AE44" i="8"/>
  <c r="AG44" i="8"/>
  <c r="AK44" i="8"/>
  <c r="AL43" i="8"/>
  <c r="E44" i="8"/>
  <c r="M44" i="8"/>
  <c r="AI44" i="8"/>
  <c r="AP46" i="8"/>
  <c r="E58" i="8"/>
  <c r="E63" i="8"/>
  <c r="I99" i="8"/>
  <c r="I102" i="8" s="1"/>
  <c r="I114" i="8"/>
  <c r="I119" i="8"/>
  <c r="D100" i="8"/>
  <c r="G100" i="8" s="1"/>
  <c r="H100" i="8" s="1"/>
  <c r="E102" i="8"/>
  <c r="E114" i="8"/>
  <c r="F102" i="8"/>
  <c r="F114" i="8"/>
  <c r="D105" i="8"/>
  <c r="G105" i="8" s="1"/>
  <c r="H105" i="8" s="1"/>
  <c r="D106" i="8"/>
  <c r="G106" i="8" s="1"/>
  <c r="D107" i="8"/>
  <c r="G107" i="8" s="1"/>
  <c r="H107" i="8" s="1"/>
  <c r="G108" i="8"/>
  <c r="H108" i="8" s="1"/>
  <c r="D109" i="8"/>
  <c r="G109" i="8" s="1"/>
  <c r="H109" i="8" s="1"/>
  <c r="D110" i="8"/>
  <c r="G110" i="8" s="1"/>
  <c r="H110" i="8" s="1"/>
  <c r="D111" i="8"/>
  <c r="G111" i="8" s="1"/>
  <c r="H111" i="8" s="1"/>
  <c r="D112" i="8"/>
  <c r="G112" i="8" s="1"/>
  <c r="H112" i="8"/>
  <c r="D113" i="8"/>
  <c r="G113" i="8" s="1"/>
  <c r="H113" i="8"/>
  <c r="F119" i="8"/>
  <c r="E121" i="8"/>
  <c r="F123" i="8"/>
  <c r="F124" i="8"/>
  <c r="F126" i="8"/>
  <c r="B130" i="8"/>
  <c r="D130" i="8"/>
  <c r="B131" i="8"/>
  <c r="D131" i="8"/>
  <c r="B132" i="8"/>
  <c r="D132" i="8"/>
  <c r="B133" i="8"/>
  <c r="D133" i="8"/>
  <c r="D134" i="8"/>
  <c r="D135" i="8"/>
  <c r="B134" i="8"/>
  <c r="B135" i="8"/>
  <c r="I141" i="8"/>
  <c r="I144" i="8"/>
  <c r="I134" i="8" s="1"/>
  <c r="E67" i="9"/>
  <c r="E68" i="9"/>
  <c r="E69" i="9"/>
  <c r="E70" i="9"/>
  <c r="E71" i="9"/>
  <c r="E72" i="9"/>
  <c r="E73" i="9"/>
  <c r="E78" i="9"/>
  <c r="E79" i="9"/>
  <c r="E80" i="9"/>
  <c r="E81" i="9"/>
  <c r="E89" i="9"/>
  <c r="E90" i="9" s="1"/>
  <c r="D94" i="9"/>
  <c r="E94" i="9"/>
  <c r="E95" i="9"/>
  <c r="E96" i="9"/>
  <c r="F113" i="9"/>
  <c r="F131" i="9"/>
  <c r="I131" i="9"/>
  <c r="I152" i="9"/>
  <c r="I155" i="9"/>
  <c r="D133" i="2"/>
  <c r="G133" i="2" s="1"/>
  <c r="I128" i="9"/>
  <c r="I132" i="9" s="1"/>
  <c r="D78" i="9"/>
  <c r="D69" i="9"/>
  <c r="AH57" i="9"/>
  <c r="AI57" i="9"/>
  <c r="AC57" i="9"/>
  <c r="AK57" i="9"/>
  <c r="AS57" i="9"/>
  <c r="AS59" i="9" s="1"/>
  <c r="BB57" i="9"/>
  <c r="BB59" i="9" s="1"/>
  <c r="M45" i="10"/>
  <c r="T45" i="10"/>
  <c r="D70" i="10"/>
  <c r="D71" i="11"/>
  <c r="D104" i="11"/>
  <c r="G104" i="11" s="1"/>
  <c r="H104" i="11" s="1"/>
  <c r="G166" i="7"/>
  <c r="D119" i="11"/>
  <c r="G119" i="11" s="1"/>
  <c r="H119" i="11" s="1"/>
  <c r="F78" i="13"/>
  <c r="F80" i="13" s="1"/>
  <c r="D91" i="13"/>
  <c r="AN78" i="13"/>
  <c r="H78" i="13"/>
  <c r="D136" i="13"/>
  <c r="G136" i="13" s="1"/>
  <c r="AV78" i="13"/>
  <c r="AV80" i="13" s="1"/>
  <c r="BE78" i="13"/>
  <c r="BE80" i="13" s="1"/>
  <c r="D113" i="13"/>
  <c r="AX78" i="13"/>
  <c r="AX80" i="13" s="1"/>
  <c r="AY78" i="13"/>
  <c r="BL78" i="13"/>
  <c r="BL80" i="13" s="1"/>
  <c r="AW78" i="13"/>
  <c r="BM78" i="13"/>
  <c r="BD78" i="13"/>
  <c r="D150" i="13"/>
  <c r="G150" i="13" s="1"/>
  <c r="AA78" i="13"/>
  <c r="Z78" i="13"/>
  <c r="Q78" i="13"/>
  <c r="AJ48" i="11"/>
  <c r="BL78" i="15"/>
  <c r="BL80" i="15" s="1"/>
  <c r="D103" i="11"/>
  <c r="G103" i="11" s="1"/>
  <c r="D72" i="9"/>
  <c r="R43" i="8"/>
  <c r="AL107" i="7"/>
  <c r="AO78" i="13"/>
  <c r="D102" i="13"/>
  <c r="D120" i="13"/>
  <c r="D147" i="15"/>
  <c r="G147" i="15" s="1"/>
  <c r="D118" i="15"/>
  <c r="D213" i="15" s="1"/>
  <c r="BM78" i="15"/>
  <c r="D149" i="15"/>
  <c r="G149" i="15" s="1"/>
  <c r="W78" i="15"/>
  <c r="X65" i="2"/>
  <c r="D93" i="2" s="1"/>
  <c r="AG106" i="7"/>
  <c r="AG107" i="7" s="1"/>
  <c r="D145" i="7" s="1"/>
  <c r="D106" i="11"/>
  <c r="AA48" i="11"/>
  <c r="AH48" i="11"/>
  <c r="AH50" i="11" s="1"/>
  <c r="D106" i="10"/>
  <c r="G106" i="10" s="1"/>
  <c r="H106" i="10" s="1"/>
  <c r="AK48" i="11"/>
  <c r="D140" i="13"/>
  <c r="G140" i="13" s="1"/>
  <c r="H140" i="13" s="1"/>
  <c r="AS78" i="15"/>
  <c r="AD43" i="8"/>
  <c r="AE45" i="8" s="1"/>
  <c r="AH63" i="2"/>
  <c r="J57" i="9"/>
  <c r="C265" i="16"/>
  <c r="D57" i="9"/>
  <c r="D59" i="9" s="1"/>
  <c r="D67" i="9"/>
  <c r="E57" i="9"/>
  <c r="D99" i="10"/>
  <c r="G99" i="10" s="1"/>
  <c r="H99" i="10" s="1"/>
  <c r="D60" i="10"/>
  <c r="BA45" i="10"/>
  <c r="AJ78" i="15"/>
  <c r="AK78" i="15"/>
  <c r="D132" i="15"/>
  <c r="G128" i="2"/>
  <c r="G121" i="2"/>
  <c r="D125" i="2"/>
  <c r="AJ47" i="2"/>
  <c r="J63" i="2"/>
  <c r="J65" i="2" s="1"/>
  <c r="AJ65" i="2" s="1"/>
  <c r="D131" i="2"/>
  <c r="G131" i="2" s="1"/>
  <c r="S106" i="7"/>
  <c r="AN96" i="7"/>
  <c r="D168" i="7"/>
  <c r="G168" i="7" s="1"/>
  <c r="S107" i="7"/>
  <c r="T48" i="11"/>
  <c r="BC48" i="11"/>
  <c r="BC50" i="11" s="1"/>
  <c r="D89" i="11"/>
  <c r="X78" i="15"/>
  <c r="D111" i="15"/>
  <c r="D112" i="15" s="1"/>
  <c r="BO78" i="15"/>
  <c r="BO80" i="15" s="1"/>
  <c r="BN78" i="15"/>
  <c r="BJ78" i="15"/>
  <c r="BJ80" i="15" s="1"/>
  <c r="D95" i="15"/>
  <c r="BK78" i="15"/>
  <c r="BF78" i="15"/>
  <c r="BF80" i="15" s="1"/>
  <c r="D93" i="15"/>
  <c r="BG78" i="15"/>
  <c r="D91" i="15"/>
  <c r="F78" i="15"/>
  <c r="F80" i="15" s="1"/>
  <c r="G78" i="15"/>
  <c r="H45" i="8"/>
  <c r="F187" i="7"/>
  <c r="F191" i="7" s="1"/>
  <c r="T107" i="7"/>
  <c r="D127" i="7" s="1"/>
  <c r="D62" i="10"/>
  <c r="BJ48" i="11"/>
  <c r="BJ50" i="11" s="1"/>
  <c r="D112" i="13"/>
  <c r="BN78" i="13"/>
  <c r="D144" i="13"/>
  <c r="G144" i="13" s="1"/>
  <c r="P78" i="13"/>
  <c r="AC78" i="15"/>
  <c r="AO78" i="15"/>
  <c r="BO78" i="13"/>
  <c r="BO80" i="13" s="1"/>
  <c r="BB48" i="11"/>
  <c r="D108" i="2"/>
  <c r="G167" i="7"/>
  <c r="D90" i="11"/>
  <c r="I78" i="13"/>
  <c r="AH78" i="13"/>
  <c r="D92" i="13"/>
  <c r="AI107" i="7"/>
  <c r="D138" i="7" s="1"/>
  <c r="D139" i="7" s="1"/>
  <c r="D110" i="10"/>
  <c r="G110" i="10" s="1"/>
  <c r="H110" i="10" s="1"/>
  <c r="Q45" i="10"/>
  <c r="D114" i="10"/>
  <c r="G114" i="10" s="1"/>
  <c r="H114" i="10" s="1"/>
  <c r="Y45" i="10"/>
  <c r="AT48" i="11"/>
  <c r="AT50" i="11" s="1"/>
  <c r="AU48" i="11"/>
  <c r="D48" i="11"/>
  <c r="D50" i="11" s="1"/>
  <c r="D60" i="11"/>
  <c r="D143" i="13"/>
  <c r="G143" i="13" s="1"/>
  <c r="H143" i="13" s="1"/>
  <c r="F155" i="13"/>
  <c r="F159" i="13" s="1"/>
  <c r="F160" i="13" s="1"/>
  <c r="H78" i="15"/>
  <c r="D138" i="15"/>
  <c r="G138" i="15" s="1"/>
  <c r="H138" i="15" s="1"/>
  <c r="I78" i="15"/>
  <c r="D131" i="15"/>
  <c r="G131" i="15" s="1"/>
  <c r="H131" i="15" s="1"/>
  <c r="AF78" i="15"/>
  <c r="D82" i="11"/>
  <c r="I48" i="11"/>
  <c r="AD45" i="10"/>
  <c r="AZ57" i="9"/>
  <c r="AZ59" i="9" s="1"/>
  <c r="Z57" i="9"/>
  <c r="AA57" i="9"/>
  <c r="D73" i="11"/>
  <c r="E91" i="11"/>
  <c r="D45" i="10"/>
  <c r="D47" i="10" s="1"/>
  <c r="E45" i="10"/>
  <c r="AG78" i="15"/>
  <c r="BE78" i="15"/>
  <c r="BE80" i="15" s="1"/>
  <c r="R78" i="15"/>
  <c r="S78" i="15"/>
  <c r="M78" i="15"/>
  <c r="D112" i="10"/>
  <c r="G112" i="10"/>
  <c r="H112" i="10" s="1"/>
  <c r="D145" i="15"/>
  <c r="G145" i="15" s="1"/>
  <c r="H145" i="15" s="1"/>
  <c r="V78" i="15"/>
  <c r="D102" i="15"/>
  <c r="AW78" i="15"/>
  <c r="E78" i="15"/>
  <c r="BM78" i="14"/>
  <c r="BC78" i="14"/>
  <c r="BC80" i="14" s="1"/>
  <c r="X78" i="14"/>
  <c r="M78" i="14"/>
  <c r="H78" i="14"/>
  <c r="AG78" i="14"/>
  <c r="AK78" i="14"/>
  <c r="AV78" i="14"/>
  <c r="AV80" i="14" s="1"/>
  <c r="E93" i="14"/>
  <c r="AJ78" i="14"/>
  <c r="AW78" i="14"/>
  <c r="BB78" i="14"/>
  <c r="L78" i="14"/>
  <c r="D137" i="14"/>
  <c r="G137" i="14" s="1"/>
  <c r="H137" i="14" s="1"/>
  <c r="E113" i="14"/>
  <c r="E118" i="14" s="1"/>
  <c r="Y78" i="14"/>
  <c r="AC78" i="14"/>
  <c r="U78" i="14"/>
  <c r="I78" i="14"/>
  <c r="BL78" i="14"/>
  <c r="BL80" i="14" s="1"/>
  <c r="P78" i="14"/>
  <c r="J78" i="14"/>
  <c r="AF78" i="14"/>
  <c r="AR78" i="14"/>
  <c r="AR80" i="14" s="1"/>
  <c r="AY78" i="14"/>
  <c r="BJ78" i="14"/>
  <c r="BJ80" i="14" s="1"/>
  <c r="Q78" i="14"/>
  <c r="BK78" i="14"/>
  <c r="AS78" i="14"/>
  <c r="D112" i="14"/>
  <c r="D230" i="14" s="1"/>
  <c r="AD78" i="14"/>
  <c r="D134" i="14"/>
  <c r="G134" i="14" s="1"/>
  <c r="H134" i="14" s="1"/>
  <c r="T78" i="14"/>
  <c r="AE78" i="14"/>
  <c r="D111" i="14"/>
  <c r="D229" i="14" s="1"/>
  <c r="D141" i="14"/>
  <c r="G141" i="14" s="1"/>
  <c r="D132" i="14"/>
  <c r="G132" i="14" s="1"/>
  <c r="H132" i="14" s="1"/>
  <c r="D138" i="14"/>
  <c r="G138" i="14" s="1"/>
  <c r="D126" i="14"/>
  <c r="G126" i="14" s="1"/>
  <c r="H126" i="14" s="1"/>
  <c r="D136" i="14"/>
  <c r="G136" i="14" s="1"/>
  <c r="H136" i="14" s="1"/>
  <c r="D131" i="14"/>
  <c r="G131" i="14" s="1"/>
  <c r="H131" i="14" s="1"/>
  <c r="BH78" i="14"/>
  <c r="BH80" i="14" s="1"/>
  <c r="D125" i="14"/>
  <c r="L126" i="14" s="1"/>
  <c r="D97" i="14"/>
  <c r="AP78" i="14"/>
  <c r="F144" i="14"/>
  <c r="I144" i="14"/>
  <c r="D110" i="14"/>
  <c r="BI78" i="14"/>
  <c r="AD45" i="8"/>
  <c r="AD47" i="8" s="1"/>
  <c r="D170" i="7"/>
  <c r="G147" i="14"/>
  <c r="H147" i="14" s="1"/>
  <c r="G170" i="7"/>
  <c r="P45" i="10" l="1"/>
  <c r="X45" i="10"/>
  <c r="AI45" i="10"/>
  <c r="AZ45" i="10"/>
  <c r="Z78" i="15"/>
  <c r="K78" i="15"/>
  <c r="E128" i="16"/>
  <c r="AP78" i="15"/>
  <c r="AP80" i="15" s="1"/>
  <c r="P78" i="15"/>
  <c r="D140" i="15"/>
  <c r="G140" i="15" s="1"/>
  <c r="H140" i="15" s="1"/>
  <c r="AW61" i="20"/>
  <c r="AW63" i="20" s="1"/>
  <c r="T61" i="20"/>
  <c r="Y61" i="20"/>
  <c r="J61" i="20"/>
  <c r="F125" i="8"/>
  <c r="AY57" i="9"/>
  <c r="M61" i="20"/>
  <c r="E68" i="8"/>
  <c r="F107" i="7"/>
  <c r="D115" i="7" s="1"/>
  <c r="D80" i="9"/>
  <c r="BG57" i="9"/>
  <c r="BG59" i="9" s="1"/>
  <c r="D107" i="10"/>
  <c r="G107" i="10" s="1"/>
  <c r="H107" i="10" s="1"/>
  <c r="AF45" i="10"/>
  <c r="E63" i="10"/>
  <c r="E87" i="10"/>
  <c r="I120" i="10"/>
  <c r="I124" i="10" s="1"/>
  <c r="I125" i="10" s="1"/>
  <c r="D117" i="10"/>
  <c r="G117" i="10" s="1"/>
  <c r="H117" i="10" s="1"/>
  <c r="E80" i="10"/>
  <c r="E92" i="10" s="1"/>
  <c r="O48" i="11"/>
  <c r="D121" i="11"/>
  <c r="G121" i="11" s="1"/>
  <c r="H121" i="11" s="1"/>
  <c r="D105" i="11"/>
  <c r="G105" i="11" s="1"/>
  <c r="H105" i="11" s="1"/>
  <c r="I124" i="11"/>
  <c r="I128" i="11" s="1"/>
  <c r="I129" i="11" s="1"/>
  <c r="F45" i="10"/>
  <c r="F47" i="10" s="1"/>
  <c r="AP45" i="10"/>
  <c r="AP47" i="10" s="1"/>
  <c r="AV45" i="10"/>
  <c r="BG45" i="10"/>
  <c r="BG47" i="10" s="1"/>
  <c r="BB45" i="10"/>
  <c r="BB47" i="10" s="1"/>
  <c r="AB48" i="11"/>
  <c r="AW48" i="11"/>
  <c r="O78" i="13"/>
  <c r="W78" i="13"/>
  <c r="AM78" i="13"/>
  <c r="AU78" i="13"/>
  <c r="BC78" i="13"/>
  <c r="BC80" i="13" s="1"/>
  <c r="AC78" i="13"/>
  <c r="AK78" i="13"/>
  <c r="D94" i="13"/>
  <c r="E105" i="13"/>
  <c r="E121" i="13"/>
  <c r="I155" i="13"/>
  <c r="I159" i="13" s="1"/>
  <c r="I160" i="13" s="1"/>
  <c r="AQ78" i="14"/>
  <c r="V78" i="14"/>
  <c r="K78" i="14"/>
  <c r="BA78" i="14"/>
  <c r="BA80" i="14" s="1"/>
  <c r="AX78" i="14"/>
  <c r="AX80" i="14" s="1"/>
  <c r="BP78" i="14"/>
  <c r="BP80" i="14" s="1"/>
  <c r="D78" i="14"/>
  <c r="D80" i="14" s="1"/>
  <c r="BE78" i="14"/>
  <c r="BE80" i="14" s="1"/>
  <c r="D89" i="20"/>
  <c r="I157" i="9"/>
  <c r="I145" i="9" s="1"/>
  <c r="I146" i="9" s="1"/>
  <c r="Z107" i="7"/>
  <c r="D130" i="7" s="1"/>
  <c r="D71" i="9"/>
  <c r="BO48" i="11"/>
  <c r="BO50" i="11" s="1"/>
  <c r="E48" i="11"/>
  <c r="E124" i="17"/>
  <c r="AV61" i="20"/>
  <c r="U61" i="20"/>
  <c r="D99" i="21"/>
  <c r="E92" i="22" s="1"/>
  <c r="V61" i="20"/>
  <c r="D120" i="20"/>
  <c r="G120" i="20" s="1"/>
  <c r="H120" i="20" s="1"/>
  <c r="D118" i="20"/>
  <c r="G118" i="20" s="1"/>
  <c r="H118" i="20" s="1"/>
  <c r="D116" i="20"/>
  <c r="G116" i="20" s="1"/>
  <c r="H116" i="20" s="1"/>
  <c r="AJ45" i="8"/>
  <c r="D63" i="8" s="1"/>
  <c r="AN45" i="8"/>
  <c r="AN47" i="8" s="1"/>
  <c r="M57" i="9"/>
  <c r="U57" i="9"/>
  <c r="AB57" i="9"/>
  <c r="AB59" i="9" s="1"/>
  <c r="AJ57" i="9"/>
  <c r="AJ59" i="9" s="1"/>
  <c r="AR57" i="9"/>
  <c r="BC57" i="9"/>
  <c r="BP78" i="15"/>
  <c r="BP80" i="15" s="1"/>
  <c r="D92" i="15"/>
  <c r="D90" i="15"/>
  <c r="BD78" i="15"/>
  <c r="F124" i="17"/>
  <c r="I124" i="17"/>
  <c r="AB60" i="17"/>
  <c r="D260" i="17"/>
  <c r="AF61" i="20"/>
  <c r="D154" i="21"/>
  <c r="D132" i="21"/>
  <c r="N195" i="7"/>
  <c r="N199" i="7" s="1"/>
  <c r="AN93" i="7"/>
  <c r="J105" i="7"/>
  <c r="J107" i="7" s="1"/>
  <c r="D179" i="7"/>
  <c r="G179" i="7" s="1"/>
  <c r="S45" i="10"/>
  <c r="R45" i="10"/>
  <c r="AK45" i="10"/>
  <c r="D102" i="10"/>
  <c r="AS45" i="10"/>
  <c r="AR45" i="10"/>
  <c r="BQ48" i="11"/>
  <c r="D64" i="11"/>
  <c r="AS48" i="11"/>
  <c r="D74" i="11"/>
  <c r="F46" i="11"/>
  <c r="BR13" i="11"/>
  <c r="AN101" i="7"/>
  <c r="D175" i="7"/>
  <c r="G175" i="7" s="1"/>
  <c r="D116" i="9"/>
  <c r="G116" i="9" s="1"/>
  <c r="H57" i="9"/>
  <c r="I57" i="9"/>
  <c r="AC45" i="10"/>
  <c r="AB45" i="10"/>
  <c r="O45" i="10"/>
  <c r="D109" i="10"/>
  <c r="G109" i="10" s="1"/>
  <c r="H109" i="10" s="1"/>
  <c r="N45" i="10"/>
  <c r="V45" i="10"/>
  <c r="D113" i="10"/>
  <c r="G113" i="10" s="1"/>
  <c r="H113" i="10" s="1"/>
  <c r="M48" i="11"/>
  <c r="BR47" i="11"/>
  <c r="D112" i="11"/>
  <c r="G112" i="11" s="1"/>
  <c r="H112" i="11" s="1"/>
  <c r="R48" i="11"/>
  <c r="S48" i="11"/>
  <c r="D115" i="11"/>
  <c r="G115" i="11" s="1"/>
  <c r="H115" i="11" s="1"/>
  <c r="D83" i="11"/>
  <c r="BM48" i="11"/>
  <c r="D78" i="13"/>
  <c r="D80" i="13" s="1"/>
  <c r="D90" i="13"/>
  <c r="E78" i="13"/>
  <c r="BK78" i="13"/>
  <c r="D95" i="13"/>
  <c r="BJ78" i="13"/>
  <c r="BJ80" i="13" s="1"/>
  <c r="M78" i="13"/>
  <c r="D142" i="13"/>
  <c r="G142" i="13" s="1"/>
  <c r="H142" i="13" s="1"/>
  <c r="AZ78" i="13"/>
  <c r="D118" i="13"/>
  <c r="O78" i="14"/>
  <c r="N78" i="14"/>
  <c r="D127" i="14"/>
  <c r="G127" i="14" s="1"/>
  <c r="AO78" i="14"/>
  <c r="BH78" i="15"/>
  <c r="BH80" i="15" s="1"/>
  <c r="BI78" i="15"/>
  <c r="D98" i="14"/>
  <c r="BL48" i="11"/>
  <c r="BL50" i="11" s="1"/>
  <c r="W45" i="10"/>
  <c r="X48" i="11"/>
  <c r="D111" i="10"/>
  <c r="G111" i="10" s="1"/>
  <c r="H111" i="10" s="1"/>
  <c r="W78" i="14"/>
  <c r="E78" i="14"/>
  <c r="AV48" i="11"/>
  <c r="AV50" i="11" s="1"/>
  <c r="T43" i="8"/>
  <c r="T45" i="8" s="1"/>
  <c r="E70" i="8"/>
  <c r="G131" i="16"/>
  <c r="H131" i="16" s="1"/>
  <c r="BC65" i="16"/>
  <c r="AH64" i="16"/>
  <c r="AH66" i="16" s="1"/>
  <c r="D77" i="16"/>
  <c r="D84" i="16"/>
  <c r="AY64" i="16"/>
  <c r="BO64" i="16"/>
  <c r="BO66" i="16" s="1"/>
  <c r="D92" i="16"/>
  <c r="D93" i="16" s="1"/>
  <c r="F133" i="16"/>
  <c r="P57" i="9"/>
  <c r="Q57" i="9"/>
  <c r="Y57" i="9"/>
  <c r="D124" i="9"/>
  <c r="G124" i="9" s="1"/>
  <c r="H124" i="9" s="1"/>
  <c r="X57" i="9"/>
  <c r="BK45" i="10"/>
  <c r="BJ45" i="10"/>
  <c r="AN48" i="11"/>
  <c r="AO48" i="11"/>
  <c r="T78" i="13"/>
  <c r="U78" i="13"/>
  <c r="D146" i="13"/>
  <c r="G146" i="13" s="1"/>
  <c r="H146" i="13" s="1"/>
  <c r="AR78" i="13"/>
  <c r="AR80" i="13" s="1"/>
  <c r="D104" i="13"/>
  <c r="AA78" i="14"/>
  <c r="Z78" i="14"/>
  <c r="R78" i="14"/>
  <c r="S78" i="14"/>
  <c r="AL78" i="14"/>
  <c r="AM78" i="14"/>
  <c r="D106" i="14"/>
  <c r="D107" i="14" s="1"/>
  <c r="BN78" i="14"/>
  <c r="D96" i="14"/>
  <c r="AU78" i="14"/>
  <c r="D146" i="15"/>
  <c r="G146" i="15" s="1"/>
  <c r="H146" i="15" s="1"/>
  <c r="Y78" i="15"/>
  <c r="D140" i="14"/>
  <c r="G140" i="14" s="1"/>
  <c r="H140" i="14" s="1"/>
  <c r="BR77" i="14"/>
  <c r="D133" i="14"/>
  <c r="G133" i="14" s="1"/>
  <c r="H133" i="14" s="1"/>
  <c r="D92" i="14"/>
  <c r="BD78" i="14"/>
  <c r="BE48" i="11"/>
  <c r="BE50" i="11" s="1"/>
  <c r="BQ78" i="14"/>
  <c r="AT78" i="14"/>
  <c r="AT80" i="14" s="1"/>
  <c r="Y48" i="11"/>
  <c r="D120" i="9"/>
  <c r="G120" i="9" s="1"/>
  <c r="H120" i="9" s="1"/>
  <c r="Q78" i="15"/>
  <c r="N78" i="13"/>
  <c r="L78" i="13"/>
  <c r="BA78" i="13"/>
  <c r="BA80" i="13" s="1"/>
  <c r="D100" i="10"/>
  <c r="G100" i="10" s="1"/>
  <c r="H100" i="10" s="1"/>
  <c r="D139" i="2"/>
  <c r="D141" i="2" s="1"/>
  <c r="D145" i="2" s="1"/>
  <c r="D146" i="2" s="1"/>
  <c r="BO78" i="14"/>
  <c r="BO80" i="14" s="1"/>
  <c r="D139" i="14"/>
  <c r="G139" i="14" s="1"/>
  <c r="H139" i="14" s="1"/>
  <c r="AZ78" i="14"/>
  <c r="AN78" i="14"/>
  <c r="AO57" i="9"/>
  <c r="AC48" i="11"/>
  <c r="AB78" i="13"/>
  <c r="L48" i="11"/>
  <c r="AG45" i="10"/>
  <c r="AX57" i="9"/>
  <c r="AX59" i="9" s="1"/>
  <c r="D139" i="15"/>
  <c r="G139" i="15" s="1"/>
  <c r="H139" i="15" s="1"/>
  <c r="J78" i="15"/>
  <c r="D134" i="15"/>
  <c r="G134" i="15" s="1"/>
  <c r="AN78" i="15"/>
  <c r="AL78" i="15"/>
  <c r="D133" i="15"/>
  <c r="G133" i="15" s="1"/>
  <c r="H133" i="15" s="1"/>
  <c r="AM78" i="15"/>
  <c r="AT78" i="15"/>
  <c r="AT80" i="15" s="1"/>
  <c r="D101" i="15"/>
  <c r="BR29" i="14"/>
  <c r="F76" i="14"/>
  <c r="G78" i="14" s="1"/>
  <c r="R60" i="17"/>
  <c r="D120" i="17"/>
  <c r="G120" i="17" s="1"/>
  <c r="H120" i="17" s="1"/>
  <c r="S60" i="17"/>
  <c r="AZ20" i="17"/>
  <c r="H58" i="17"/>
  <c r="I148" i="14"/>
  <c r="I149" i="14" s="1"/>
  <c r="AG48" i="11"/>
  <c r="E66" i="11"/>
  <c r="E75" i="11"/>
  <c r="Z48" i="11"/>
  <c r="AJ78" i="13"/>
  <c r="E124" i="15"/>
  <c r="AV78" i="15"/>
  <c r="AV80" i="15" s="1"/>
  <c r="L61" i="20"/>
  <c r="AC71" i="21"/>
  <c r="M108" i="22"/>
  <c r="AJ107" i="7"/>
  <c r="L107" i="7"/>
  <c r="AN107" i="7" s="1"/>
  <c r="AS78" i="13"/>
  <c r="AI78" i="13"/>
  <c r="D103" i="13"/>
  <c r="E96" i="13"/>
  <c r="E108" i="13" s="1"/>
  <c r="D117" i="16"/>
  <c r="G117" i="16" s="1"/>
  <c r="H117" i="16" s="1"/>
  <c r="AL64" i="16"/>
  <c r="D82" i="16"/>
  <c r="E85" i="16"/>
  <c r="D111" i="17"/>
  <c r="AV71" i="21"/>
  <c r="V71" i="21"/>
  <c r="G71" i="21"/>
  <c r="G125" i="2"/>
  <c r="J45" i="8"/>
  <c r="G45" i="8"/>
  <c r="R63" i="1"/>
  <c r="E86" i="1" s="1"/>
  <c r="V63" i="1"/>
  <c r="E88" i="1" s="1"/>
  <c r="L63" i="1"/>
  <c r="F63" i="1"/>
  <c r="E76" i="1" s="1"/>
  <c r="AW57" i="9"/>
  <c r="AW59" i="9" s="1"/>
  <c r="BJ56" i="9"/>
  <c r="D149" i="13"/>
  <c r="G149" i="13" s="1"/>
  <c r="AE78" i="15"/>
  <c r="F125" i="20"/>
  <c r="H111" i="22"/>
  <c r="D146" i="7"/>
  <c r="D143" i="7"/>
  <c r="AN109" i="7"/>
  <c r="F64" i="16"/>
  <c r="F66" i="16" s="1"/>
  <c r="D76" i="16"/>
  <c r="D79" i="16" s="1"/>
  <c r="G64" i="16"/>
  <c r="Q61" i="20"/>
  <c r="P61" i="20"/>
  <c r="E125" i="22"/>
  <c r="G132" i="21"/>
  <c r="V78" i="13"/>
  <c r="D113" i="11"/>
  <c r="G113" i="11" s="1"/>
  <c r="H113" i="11" s="1"/>
  <c r="AH65" i="2"/>
  <c r="AE48" i="11"/>
  <c r="Z45" i="10"/>
  <c r="AF57" i="9"/>
  <c r="D111" i="9"/>
  <c r="G111" i="9" s="1"/>
  <c r="H111" i="9" s="1"/>
  <c r="AG57" i="9"/>
  <c r="D89" i="9"/>
  <c r="D90" i="9" s="1"/>
  <c r="BF57" i="9"/>
  <c r="BH57" i="9"/>
  <c r="BH59" i="9" s="1"/>
  <c r="BI57" i="9"/>
  <c r="D108" i="10"/>
  <c r="L45" i="10"/>
  <c r="D59" i="10"/>
  <c r="AE45" i="10"/>
  <c r="AM45" i="10"/>
  <c r="AL45" i="10"/>
  <c r="H45" i="10"/>
  <c r="I45" i="10"/>
  <c r="AF48" i="11"/>
  <c r="BF48" i="11"/>
  <c r="BF50" i="11" s="1"/>
  <c r="D63" i="11"/>
  <c r="BG48" i="11"/>
  <c r="AY48" i="11"/>
  <c r="AX48" i="11"/>
  <c r="AX50" i="11" s="1"/>
  <c r="F89" i="20"/>
  <c r="D90" i="20"/>
  <c r="F90" i="20" s="1"/>
  <c r="BE64" i="16"/>
  <c r="BD64" i="16"/>
  <c r="AA61" i="20"/>
  <c r="Z61" i="20"/>
  <c r="F61" i="20"/>
  <c r="G61" i="20"/>
  <c r="D107" i="20"/>
  <c r="G107" i="20" s="1"/>
  <c r="H107" i="20" s="1"/>
  <c r="AG61" i="20"/>
  <c r="AJ47" i="8"/>
  <c r="AS61" i="17"/>
  <c r="AS62" i="17" s="1"/>
  <c r="G48" i="11"/>
  <c r="N48" i="11"/>
  <c r="AM44" i="8"/>
  <c r="AD48" i="11"/>
  <c r="K57" i="9"/>
  <c r="D117" i="9"/>
  <c r="G117" i="9" s="1"/>
  <c r="H117" i="9" s="1"/>
  <c r="D121" i="9"/>
  <c r="G121" i="9" s="1"/>
  <c r="H121" i="9" s="1"/>
  <c r="D109" i="9"/>
  <c r="G109" i="9" s="1"/>
  <c r="H109" i="9" s="1"/>
  <c r="D110" i="11"/>
  <c r="G110" i="11" s="1"/>
  <c r="H110" i="11" s="1"/>
  <c r="H48" i="11"/>
  <c r="P48" i="11"/>
  <c r="D114" i="11"/>
  <c r="G114" i="11" s="1"/>
  <c r="H114" i="11" s="1"/>
  <c r="Q48" i="11"/>
  <c r="V48" i="11"/>
  <c r="D117" i="11"/>
  <c r="G117" i="11" s="1"/>
  <c r="H117" i="11" s="1"/>
  <c r="W48" i="11"/>
  <c r="AQ48" i="11"/>
  <c r="AP48" i="11"/>
  <c r="D145" i="13"/>
  <c r="G145" i="13" s="1"/>
  <c r="H145" i="13" s="1"/>
  <c r="F71" i="21"/>
  <c r="W71" i="21"/>
  <c r="D133" i="13"/>
  <c r="G133" i="13" s="1"/>
  <c r="H133" i="13" s="1"/>
  <c r="AF78" i="13"/>
  <c r="Y64" i="16"/>
  <c r="X64" i="16"/>
  <c r="K45" i="8"/>
  <c r="D99" i="8" s="1"/>
  <c r="G99" i="8" s="1"/>
  <c r="H99" i="8" s="1"/>
  <c r="D84" i="11"/>
  <c r="D147" i="13"/>
  <c r="G147" i="13" s="1"/>
  <c r="H147" i="13" s="1"/>
  <c r="D135" i="13"/>
  <c r="G135" i="13" s="1"/>
  <c r="AG78" i="13"/>
  <c r="D181" i="7"/>
  <c r="G181" i="7" s="1"/>
  <c r="AN90" i="7"/>
  <c r="AL48" i="11"/>
  <c r="AM48" i="11"/>
  <c r="BH78" i="13"/>
  <c r="BH80" i="13" s="1"/>
  <c r="BI78" i="13"/>
  <c r="BQ78" i="13"/>
  <c r="BP78" i="13"/>
  <c r="BP80" i="13" s="1"/>
  <c r="D141" i="13"/>
  <c r="G141" i="13" s="1"/>
  <c r="H141" i="13" s="1"/>
  <c r="BR77" i="13"/>
  <c r="J78" i="13"/>
  <c r="AP78" i="13"/>
  <c r="AQ78" i="13"/>
  <c r="D93" i="13"/>
  <c r="D96" i="13" s="1"/>
  <c r="BG78" i="13"/>
  <c r="D237" i="20"/>
  <c r="O71" i="21"/>
  <c r="N71" i="21"/>
  <c r="K71" i="21"/>
  <c r="J71" i="21"/>
  <c r="AG71" i="21"/>
  <c r="AF71" i="21"/>
  <c r="D265" i="16"/>
  <c r="E87" i="8"/>
  <c r="P63" i="1"/>
  <c r="J63" i="1"/>
  <c r="F141" i="2"/>
  <c r="T65" i="2"/>
  <c r="D91" i="2" s="1"/>
  <c r="E134" i="7"/>
  <c r="D112" i="9"/>
  <c r="BA57" i="9"/>
  <c r="AJ45" i="10"/>
  <c r="E71" i="10"/>
  <c r="E74" i="10" s="1"/>
  <c r="D84" i="10"/>
  <c r="BE45" i="10"/>
  <c r="D86" i="10"/>
  <c r="K78" i="13"/>
  <c r="X78" i="13"/>
  <c r="E96" i="15"/>
  <c r="AA78" i="15"/>
  <c r="D115" i="16"/>
  <c r="G115" i="16" s="1"/>
  <c r="H115" i="16" s="1"/>
  <c r="BM64" i="16"/>
  <c r="I135" i="21"/>
  <c r="D121" i="20"/>
  <c r="G121" i="20" s="1"/>
  <c r="H121" i="20" s="1"/>
  <c r="D119" i="20"/>
  <c r="G119" i="20" s="1"/>
  <c r="H119" i="20" s="1"/>
  <c r="D117" i="20"/>
  <c r="G117" i="20" s="1"/>
  <c r="H117" i="20" s="1"/>
  <c r="U71" i="21"/>
  <c r="D126" i="21"/>
  <c r="G126" i="21" s="1"/>
  <c r="H126" i="21" s="1"/>
  <c r="D124" i="21"/>
  <c r="G124" i="21" s="1"/>
  <c r="H124" i="21" s="1"/>
  <c r="D94" i="2"/>
  <c r="I116" i="8"/>
  <c r="I120" i="8" s="1"/>
  <c r="X63" i="1"/>
  <c r="E89" i="1" s="1"/>
  <c r="T63" i="1"/>
  <c r="E87" i="1" s="1"/>
  <c r="N63" i="1"/>
  <c r="E78" i="1" s="1"/>
  <c r="N57" i="9"/>
  <c r="W57" i="9"/>
  <c r="D110" i="9"/>
  <c r="G110" i="9" s="1"/>
  <c r="H110" i="9" s="1"/>
  <c r="D70" i="9"/>
  <c r="E155" i="13"/>
  <c r="E59" i="17"/>
  <c r="D60" i="17" s="1"/>
  <c r="D62" i="17" s="1"/>
  <c r="D8" i="20" s="1"/>
  <c r="D159" i="21"/>
  <c r="D131" i="21"/>
  <c r="G131" i="21" s="1"/>
  <c r="H131" i="21" s="1"/>
  <c r="M71" i="21"/>
  <c r="D127" i="21"/>
  <c r="G127" i="21" s="1"/>
  <c r="H127" i="21" s="1"/>
  <c r="D123" i="21"/>
  <c r="G123" i="21" s="1"/>
  <c r="H123" i="21" s="1"/>
  <c r="F45" i="8"/>
  <c r="F47" i="8" s="1"/>
  <c r="Z63" i="1"/>
  <c r="BP48" i="11"/>
  <c r="BP50" i="11" s="1"/>
  <c r="AR48" i="11"/>
  <c r="AR50" i="11" s="1"/>
  <c r="AX58" i="17"/>
  <c r="AX60" i="17" s="1"/>
  <c r="AX62" i="17" s="1"/>
  <c r="AX8" i="20" s="1"/>
  <c r="I125" i="20"/>
  <c r="AW66" i="22"/>
  <c r="H71" i="21"/>
  <c r="I71" i="21"/>
  <c r="AB45" i="8"/>
  <c r="AC45" i="8"/>
  <c r="AS8" i="20"/>
  <c r="D93" i="17"/>
  <c r="F93" i="17" s="1"/>
  <c r="D136" i="8"/>
  <c r="D90" i="14"/>
  <c r="BR76" i="14"/>
  <c r="BR78" i="14" s="1"/>
  <c r="E97" i="9"/>
  <c r="E116" i="8"/>
  <c r="I121" i="8"/>
  <c r="G139" i="2"/>
  <c r="AK45" i="8"/>
  <c r="E92" i="8"/>
  <c r="D99" i="14"/>
  <c r="D155" i="15"/>
  <c r="D107" i="11"/>
  <c r="D114" i="13"/>
  <c r="E96" i="11"/>
  <c r="F116" i="8"/>
  <c r="F120" i="8" s="1"/>
  <c r="AO45" i="8"/>
  <c r="AA44" i="8"/>
  <c r="U45" i="8"/>
  <c r="O45" i="8"/>
  <c r="D101" i="8" s="1"/>
  <c r="D119" i="8" s="1"/>
  <c r="I45" i="8"/>
  <c r="H63" i="1"/>
  <c r="H141" i="2"/>
  <c r="D109" i="2"/>
  <c r="H187" i="7"/>
  <c r="AM57" i="9"/>
  <c r="AT57" i="9"/>
  <c r="BN48" i="11"/>
  <c r="N78" i="15"/>
  <c r="AB78" i="14"/>
  <c r="D91" i="14"/>
  <c r="BF78" i="14"/>
  <c r="BF80" i="14" s="1"/>
  <c r="E99" i="14"/>
  <c r="E102" i="14" s="1"/>
  <c r="O60" i="17"/>
  <c r="E75" i="17"/>
  <c r="S71" i="21"/>
  <c r="AW71" i="21"/>
  <c r="AW73" i="21" s="1"/>
  <c r="D122" i="20"/>
  <c r="G122" i="20" s="1"/>
  <c r="D115" i="20"/>
  <c r="G115" i="20" s="1"/>
  <c r="H115" i="20" s="1"/>
  <c r="D129" i="21"/>
  <c r="D122" i="21"/>
  <c r="E115" i="22" s="1"/>
  <c r="D117" i="21"/>
  <c r="F122" i="22"/>
  <c r="F112" i="22"/>
  <c r="E72" i="8"/>
  <c r="P45" i="8"/>
  <c r="P47" i="8" s="1"/>
  <c r="H107" i="7"/>
  <c r="D116" i="7" s="1"/>
  <c r="BJ55" i="9"/>
  <c r="AV57" i="9"/>
  <c r="J48" i="11"/>
  <c r="U48" i="11"/>
  <c r="E124" i="11"/>
  <c r="D58" i="10"/>
  <c r="D69" i="10"/>
  <c r="D85" i="10"/>
  <c r="BF45" i="10"/>
  <c r="BC45" i="10"/>
  <c r="BH48" i="11"/>
  <c r="BH50" i="11" s="1"/>
  <c r="AZ48" i="11"/>
  <c r="D72" i="11"/>
  <c r="D75" i="11" s="1"/>
  <c r="S78" i="13"/>
  <c r="BF78" i="13"/>
  <c r="BF80" i="13" s="1"/>
  <c r="E114" i="13"/>
  <c r="E126" i="13" s="1"/>
  <c r="AB78" i="15"/>
  <c r="E104" i="15"/>
  <c r="E107" i="15" s="1"/>
  <c r="F152" i="15"/>
  <c r="F156" i="15" s="1"/>
  <c r="F157" i="15" s="1"/>
  <c r="AZ78" i="15"/>
  <c r="AU78" i="15"/>
  <c r="D94" i="15"/>
  <c r="D96" i="15" s="1"/>
  <c r="D78" i="15"/>
  <c r="D80" i="15" s="1"/>
  <c r="AI64" i="16"/>
  <c r="BN64" i="16"/>
  <c r="AP64" i="16"/>
  <c r="M64" i="16"/>
  <c r="U64" i="16"/>
  <c r="AC64" i="16"/>
  <c r="AK64" i="16"/>
  <c r="BI64" i="16"/>
  <c r="E99" i="16"/>
  <c r="E102" i="16" s="1"/>
  <c r="I128" i="16"/>
  <c r="I132" i="16" s="1"/>
  <c r="I133" i="16" s="1"/>
  <c r="D79" i="17"/>
  <c r="F79" i="17" s="1"/>
  <c r="E81" i="17"/>
  <c r="S61" i="20"/>
  <c r="L71" i="21"/>
  <c r="T71" i="21"/>
  <c r="X71" i="21"/>
  <c r="AB71" i="21"/>
  <c r="F135" i="21"/>
  <c r="D106" i="20"/>
  <c r="D128" i="21"/>
  <c r="D125" i="21"/>
  <c r="D116" i="21"/>
  <c r="E187" i="7"/>
  <c r="E149" i="7"/>
  <c r="E151" i="7" s="1"/>
  <c r="X107" i="7"/>
  <c r="D129" i="7" s="1"/>
  <c r="P107" i="7"/>
  <c r="D117" i="7" s="1"/>
  <c r="D146" i="9"/>
  <c r="AL78" i="13"/>
  <c r="AQ78" i="15"/>
  <c r="D142" i="15"/>
  <c r="G142" i="15" s="1"/>
  <c r="H142" i="15" s="1"/>
  <c r="L78" i="15"/>
  <c r="AX64" i="16"/>
  <c r="AX66" i="16" s="1"/>
  <c r="D121" i="16"/>
  <c r="G121" i="16" s="1"/>
  <c r="H121" i="16" s="1"/>
  <c r="BL64" i="16"/>
  <c r="BL66" i="16" s="1"/>
  <c r="AM64" i="16"/>
  <c r="E79" i="16"/>
  <c r="E88" i="16" s="1"/>
  <c r="D73" i="17"/>
  <c r="F73" i="17" s="1"/>
  <c r="AL60" i="17"/>
  <c r="AL62" i="17" s="1"/>
  <c r="AL8" i="20" s="1"/>
  <c r="Y71" i="21"/>
  <c r="D114" i="20"/>
  <c r="G114" i="20" s="1"/>
  <c r="H114" i="20" s="1"/>
  <c r="D112" i="20"/>
  <c r="D130" i="21"/>
  <c r="D118" i="21"/>
  <c r="E120" i="22"/>
  <c r="AA64" i="22"/>
  <c r="G115" i="22"/>
  <c r="H115" i="22" s="1"/>
  <c r="W64" i="22"/>
  <c r="Z64" i="22"/>
  <c r="D146" i="22"/>
  <c r="G110" i="22"/>
  <c r="H110" i="22" s="1"/>
  <c r="Q64" i="22"/>
  <c r="G119" i="22"/>
  <c r="H119" i="22" s="1"/>
  <c r="AI64" i="22"/>
  <c r="G118" i="22"/>
  <c r="H118" i="22" s="1"/>
  <c r="J64" i="22"/>
  <c r="AG64" i="22"/>
  <c r="I64" i="22"/>
  <c r="O64" i="22"/>
  <c r="G123" i="22"/>
  <c r="G64" i="22"/>
  <c r="V64" i="22"/>
  <c r="G117" i="22"/>
  <c r="H117" i="22" s="1"/>
  <c r="K64" i="22"/>
  <c r="G124" i="22"/>
  <c r="H124" i="22" s="1"/>
  <c r="S64" i="22"/>
  <c r="N64" i="22"/>
  <c r="M64" i="22"/>
  <c r="L64" i="22"/>
  <c r="U64" i="22"/>
  <c r="G121" i="22"/>
  <c r="H121" i="22" s="1"/>
  <c r="T64" i="22"/>
  <c r="AC64" i="22"/>
  <c r="AB64" i="22"/>
  <c r="F64" i="22"/>
  <c r="R64" i="22"/>
  <c r="AH64" i="22"/>
  <c r="G125" i="22"/>
  <c r="H64" i="22"/>
  <c r="P64" i="22"/>
  <c r="X64" i="22"/>
  <c r="AF64" i="22"/>
  <c r="G116" i="22"/>
  <c r="H116" i="22" s="1"/>
  <c r="G120" i="22"/>
  <c r="H120" i="22" s="1"/>
  <c r="Y64" i="22"/>
  <c r="G155" i="15"/>
  <c r="H155" i="15" s="1"/>
  <c r="F148" i="14"/>
  <c r="D128" i="14"/>
  <c r="D112" i="2"/>
  <c r="D114" i="2" s="1"/>
  <c r="D113" i="14"/>
  <c r="G125" i="14"/>
  <c r="H144" i="13"/>
  <c r="G141" i="2"/>
  <c r="I133" i="9"/>
  <c r="H116" i="9"/>
  <c r="G132" i="15"/>
  <c r="G135" i="15" s="1"/>
  <c r="D135" i="15"/>
  <c r="S45" i="8"/>
  <c r="R45" i="8"/>
  <c r="D231" i="14"/>
  <c r="E82" i="1"/>
  <c r="H103" i="11"/>
  <c r="G107" i="11"/>
  <c r="H106" i="8"/>
  <c r="G114" i="8"/>
  <c r="H114" i="8" s="1"/>
  <c r="G101" i="8"/>
  <c r="H101" i="8" s="1"/>
  <c r="G64" i="2"/>
  <c r="F65" i="2" s="1"/>
  <c r="AJ43" i="2"/>
  <c r="D73" i="9"/>
  <c r="BD57" i="9"/>
  <c r="BD59" i="9" s="1"/>
  <c r="BE57" i="9"/>
  <c r="AO45" i="10"/>
  <c r="D68" i="10"/>
  <c r="BH45" i="10"/>
  <c r="BH47" i="10" s="1"/>
  <c r="BI45" i="10"/>
  <c r="D182" i="11"/>
  <c r="D152" i="13"/>
  <c r="G152" i="13" s="1"/>
  <c r="AE78" i="13"/>
  <c r="D144" i="15"/>
  <c r="G144" i="15" s="1"/>
  <c r="H144" i="15" s="1"/>
  <c r="T78" i="15"/>
  <c r="U78" i="15"/>
  <c r="BC77" i="15"/>
  <c r="BC78" i="15" s="1"/>
  <c r="BC80" i="15" s="1"/>
  <c r="BR8" i="15"/>
  <c r="E60" i="17"/>
  <c r="D72" i="17"/>
  <c r="F60" i="17"/>
  <c r="G60" i="17"/>
  <c r="V60" i="17"/>
  <c r="W60" i="17"/>
  <c r="D121" i="17"/>
  <c r="G121" i="17" s="1"/>
  <c r="AN60" i="17"/>
  <c r="AN62" i="17" s="1"/>
  <c r="AN8" i="20" s="1"/>
  <c r="D80" i="17"/>
  <c r="F80" i="17" s="1"/>
  <c r="AZ59" i="17"/>
  <c r="G106" i="20"/>
  <c r="D127" i="11"/>
  <c r="AY45" i="10"/>
  <c r="AY47" i="10" s="1"/>
  <c r="V57" i="9"/>
  <c r="AN45" i="10"/>
  <c r="AN47" i="10" s="1"/>
  <c r="AU57" i="9"/>
  <c r="AU59" i="9" s="1"/>
  <c r="AL57" i="9"/>
  <c r="AL59" i="9" s="1"/>
  <c r="Y78" i="13"/>
  <c r="E74" i="9"/>
  <c r="Z45" i="8"/>
  <c r="AP7" i="8"/>
  <c r="D13" i="8"/>
  <c r="AP57" i="9"/>
  <c r="AP59" i="9" s="1"/>
  <c r="AQ57" i="9"/>
  <c r="AX78" i="15"/>
  <c r="AX80" i="15" s="1"/>
  <c r="AY78" i="15"/>
  <c r="AI78" i="15"/>
  <c r="AH78" i="15"/>
  <c r="AH80" i="15" s="1"/>
  <c r="D114" i="17"/>
  <c r="G114" i="17" s="1"/>
  <c r="H114" i="17" s="1"/>
  <c r="Z60" i="17"/>
  <c r="AA60" i="17"/>
  <c r="AH60" i="17"/>
  <c r="AI60" i="17"/>
  <c r="D107" i="17"/>
  <c r="G107" i="17" s="1"/>
  <c r="AZ21" i="17"/>
  <c r="J58" i="17"/>
  <c r="D60" i="8"/>
  <c r="F78" i="14"/>
  <c r="F80" i="14" s="1"/>
  <c r="AW45" i="10"/>
  <c r="AW47" i="10" s="1"/>
  <c r="BA78" i="15"/>
  <c r="BA80" i="15" s="1"/>
  <c r="AQ45" i="10"/>
  <c r="D134" i="13"/>
  <c r="D137" i="13" s="1"/>
  <c r="BR76" i="15"/>
  <c r="O78" i="15"/>
  <c r="D148" i="13"/>
  <c r="G148" i="13" s="1"/>
  <c r="H148" i="13" s="1"/>
  <c r="BR76" i="13"/>
  <c r="R78" i="13"/>
  <c r="AA45" i="8"/>
  <c r="AX45" i="10"/>
  <c r="D122" i="9"/>
  <c r="G122" i="9" s="1"/>
  <c r="H122" i="9" s="1"/>
  <c r="T57" i="9"/>
  <c r="D81" i="9"/>
  <c r="E82" i="9"/>
  <c r="F127" i="8"/>
  <c r="Y44" i="8"/>
  <c r="AH43" i="8"/>
  <c r="E59" i="8"/>
  <c r="L43" i="8"/>
  <c r="BA48" i="11"/>
  <c r="BA50" i="11" s="1"/>
  <c r="D62" i="11"/>
  <c r="AI48" i="11"/>
  <c r="AR78" i="15"/>
  <c r="AR80" i="15" s="1"/>
  <c r="N60" i="17"/>
  <c r="AY60" i="17"/>
  <c r="D107" i="7"/>
  <c r="D68" i="9"/>
  <c r="G57" i="9"/>
  <c r="G111" i="17"/>
  <c r="AF60" i="17"/>
  <c r="D106" i="17"/>
  <c r="G106" i="17" s="1"/>
  <c r="H106" i="17" s="1"/>
  <c r="AG60" i="17"/>
  <c r="D224" i="20"/>
  <c r="C224" i="20" s="1"/>
  <c r="D226" i="20" s="1"/>
  <c r="D227" i="20" s="1"/>
  <c r="D128" i="20" s="1"/>
  <c r="E94" i="20"/>
  <c r="C265" i="20" s="1"/>
  <c r="AS60" i="20"/>
  <c r="AR61" i="20" s="1"/>
  <c r="F57" i="9"/>
  <c r="F59" i="9" s="1"/>
  <c r="D78" i="10"/>
  <c r="D141" i="15"/>
  <c r="AU45" i="10"/>
  <c r="AU47" i="10" s="1"/>
  <c r="AD57" i="9"/>
  <c r="F128" i="9"/>
  <c r="E102" i="9"/>
  <c r="F216" i="7"/>
  <c r="K48" i="11"/>
  <c r="D111" i="11"/>
  <c r="D119" i="17"/>
  <c r="G119" i="17" s="1"/>
  <c r="H119" i="17" s="1"/>
  <c r="D112" i="17"/>
  <c r="G112" i="17" s="1"/>
  <c r="H112" i="17" s="1"/>
  <c r="H60" i="17"/>
  <c r="I60" i="17"/>
  <c r="Y60" i="17"/>
  <c r="X60" i="17"/>
  <c r="AQ60" i="17"/>
  <c r="AQ62" i="17" s="1"/>
  <c r="AQ8" i="20" s="1"/>
  <c r="D92" i="17"/>
  <c r="AP60" i="17"/>
  <c r="AZ38" i="17"/>
  <c r="G112" i="20"/>
  <c r="D102" i="8"/>
  <c r="D135" i="14"/>
  <c r="AH78" i="14"/>
  <c r="AH80" i="14" s="1"/>
  <c r="AI78" i="14"/>
  <c r="D103" i="15"/>
  <c r="V43" i="8"/>
  <c r="BD45" i="10"/>
  <c r="BD47" i="10" s="1"/>
  <c r="BL44" i="10"/>
  <c r="BR46" i="11"/>
  <c r="BG78" i="14"/>
  <c r="D116" i="15"/>
  <c r="D143" i="15"/>
  <c r="G143" i="15" s="1"/>
  <c r="H143" i="15" s="1"/>
  <c r="AE57" i="9"/>
  <c r="AT45" i="10"/>
  <c r="BQ78" i="15"/>
  <c r="G45" i="10"/>
  <c r="D95" i="9"/>
  <c r="D116" i="11"/>
  <c r="G116" i="11" s="1"/>
  <c r="H116" i="11" s="1"/>
  <c r="AF43" i="8"/>
  <c r="D114" i="8"/>
  <c r="BB78" i="15"/>
  <c r="N45" i="8"/>
  <c r="D118" i="9"/>
  <c r="G118" i="9" s="1"/>
  <c r="H118" i="9" s="1"/>
  <c r="O57" i="9"/>
  <c r="AD78" i="13"/>
  <c r="D88" i="11"/>
  <c r="D91" i="11" s="1"/>
  <c r="D79" i="10"/>
  <c r="L57" i="9"/>
  <c r="D96" i="9"/>
  <c r="I133" i="8"/>
  <c r="I135" i="8" s="1"/>
  <c r="I145" i="8"/>
  <c r="AP44" i="8"/>
  <c r="I129" i="7"/>
  <c r="R57" i="9"/>
  <c r="S57" i="9"/>
  <c r="D79" i="9"/>
  <c r="J45" i="10"/>
  <c r="K45" i="10"/>
  <c r="BL43" i="10"/>
  <c r="D101" i="10"/>
  <c r="AH45" i="10"/>
  <c r="D65" i="11"/>
  <c r="BK48" i="11"/>
  <c r="D101" i="13"/>
  <c r="D105" i="13" s="1"/>
  <c r="AT78" i="13"/>
  <c r="AT80" i="13" s="1"/>
  <c r="D119" i="13"/>
  <c r="D121" i="13" s="1"/>
  <c r="BB78" i="13"/>
  <c r="AZ13" i="17"/>
  <c r="AV58" i="17"/>
  <c r="Q60" i="17"/>
  <c r="D116" i="17"/>
  <c r="G116" i="17" s="1"/>
  <c r="H116" i="17" s="1"/>
  <c r="P60" i="17"/>
  <c r="V107" i="7"/>
  <c r="D128" i="7" s="1"/>
  <c r="D119" i="9"/>
  <c r="G119" i="9" s="1"/>
  <c r="H119" i="9" s="1"/>
  <c r="AA45" i="10"/>
  <c r="D120" i="11"/>
  <c r="G120" i="11" s="1"/>
  <c r="H120" i="11" s="1"/>
  <c r="H64" i="16"/>
  <c r="I64" i="16"/>
  <c r="P64" i="16"/>
  <c r="Q64" i="16"/>
  <c r="D122" i="16"/>
  <c r="G122" i="16" s="1"/>
  <c r="H122" i="16" s="1"/>
  <c r="D109" i="16"/>
  <c r="AG64" i="16"/>
  <c r="AF64" i="16"/>
  <c r="AO64" i="16"/>
  <c r="AN64" i="16"/>
  <c r="D111" i="16"/>
  <c r="G111" i="16" s="1"/>
  <c r="AW64" i="16"/>
  <c r="AV64" i="16"/>
  <c r="AV66" i="16" s="1"/>
  <c r="D83" i="16"/>
  <c r="D85" i="16" s="1"/>
  <c r="O64" i="16"/>
  <c r="N64" i="16"/>
  <c r="AD64" i="16"/>
  <c r="AE64" i="16"/>
  <c r="D118" i="16"/>
  <c r="BC64" i="16"/>
  <c r="BC66" i="16" s="1"/>
  <c r="D97" i="16" s="1"/>
  <c r="BB64" i="16"/>
  <c r="AD59" i="20"/>
  <c r="E74" i="20"/>
  <c r="D117" i="17"/>
  <c r="G117" i="17" s="1"/>
  <c r="H117" i="17" s="1"/>
  <c r="T60" i="17"/>
  <c r="U60" i="17"/>
  <c r="AC60" i="17"/>
  <c r="D105" i="17"/>
  <c r="AJ60" i="17"/>
  <c r="AJ62" i="17" s="1"/>
  <c r="AJ8" i="20" s="1"/>
  <c r="D78" i="17"/>
  <c r="AK60" i="17"/>
  <c r="AN57" i="9"/>
  <c r="AN59" i="9" s="1"/>
  <c r="I149" i="10"/>
  <c r="I137" i="10" s="1"/>
  <c r="I138" i="10" s="1"/>
  <c r="I152" i="15"/>
  <c r="I156" i="15" s="1"/>
  <c r="I157" i="15" s="1"/>
  <c r="K64" i="16"/>
  <c r="J64" i="16"/>
  <c r="S64" i="16"/>
  <c r="R64" i="16"/>
  <c r="D123" i="16"/>
  <c r="G123" i="16" s="1"/>
  <c r="H123" i="16" s="1"/>
  <c r="Z64" i="16"/>
  <c r="D125" i="16"/>
  <c r="G125" i="16" s="1"/>
  <c r="AA64" i="16"/>
  <c r="BF64" i="16"/>
  <c r="BF66" i="16" s="1"/>
  <c r="BG64" i="16"/>
  <c r="AL59" i="20"/>
  <c r="E80" i="20"/>
  <c r="D118" i="17"/>
  <c r="G118" i="17" s="1"/>
  <c r="H118" i="17" s="1"/>
  <c r="L60" i="17"/>
  <c r="D115" i="17"/>
  <c r="G115" i="17" s="1"/>
  <c r="H115" i="17" s="1"/>
  <c r="E95" i="17"/>
  <c r="E98" i="17" s="1"/>
  <c r="BR62" i="16"/>
  <c r="W64" i="16"/>
  <c r="V64" i="16"/>
  <c r="AT64" i="16"/>
  <c r="AT66" i="16" s="1"/>
  <c r="BJ64" i="16"/>
  <c r="BJ66" i="16" s="1"/>
  <c r="BK64" i="16"/>
  <c r="BR63" i="16"/>
  <c r="AU60" i="17"/>
  <c r="AO60" i="17"/>
  <c r="D100" i="21"/>
  <c r="F99" i="21"/>
  <c r="G122" i="21"/>
  <c r="D93" i="14" l="1"/>
  <c r="D102" i="14" s="1"/>
  <c r="D104" i="15"/>
  <c r="D185" i="7"/>
  <c r="D109" i="20"/>
  <c r="D63" i="10"/>
  <c r="AW9" i="22"/>
  <c r="AW63" i="22" s="1"/>
  <c r="AV64" i="22" s="1"/>
  <c r="D91" i="24"/>
  <c r="E117" i="22"/>
  <c r="G113" i="9"/>
  <c r="H113" i="9" s="1"/>
  <c r="E90" i="1"/>
  <c r="D61" i="11"/>
  <c r="F48" i="11"/>
  <c r="F50" i="11" s="1"/>
  <c r="BR50" i="11" s="1"/>
  <c r="AS61" i="20"/>
  <c r="D88" i="16"/>
  <c r="F128" i="22"/>
  <c r="E119" i="22"/>
  <c r="E78" i="11"/>
  <c r="D131" i="9"/>
  <c r="E116" i="22"/>
  <c r="D87" i="10"/>
  <c r="D113" i="9"/>
  <c r="D70" i="8"/>
  <c r="T47" i="8"/>
  <c r="E73" i="20"/>
  <c r="D59" i="20"/>
  <c r="G108" i="10"/>
  <c r="D118" i="10"/>
  <c r="D133" i="21"/>
  <c r="E126" i="22" s="1"/>
  <c r="D74" i="17"/>
  <c r="F74" i="17" s="1"/>
  <c r="D58" i="8"/>
  <c r="L106" i="20"/>
  <c r="D68" i="8"/>
  <c r="D123" i="20"/>
  <c r="E93" i="1"/>
  <c r="BR80" i="13"/>
  <c r="D80" i="10"/>
  <c r="D71" i="10"/>
  <c r="E124" i="22"/>
  <c r="E84" i="17"/>
  <c r="AM45" i="8"/>
  <c r="D79" i="8" s="1"/>
  <c r="D80" i="8" s="1"/>
  <c r="AL45" i="8"/>
  <c r="AL47" i="8" s="1"/>
  <c r="G129" i="21"/>
  <c r="H129" i="21" s="1"/>
  <c r="E122" i="22"/>
  <c r="D107" i="15"/>
  <c r="G102" i="8"/>
  <c r="G116" i="8" s="1"/>
  <c r="H116" i="8" s="1"/>
  <c r="E121" i="22"/>
  <c r="G128" i="21"/>
  <c r="H128" i="21" s="1"/>
  <c r="G125" i="21"/>
  <c r="H125" i="21" s="1"/>
  <c r="E118" i="22"/>
  <c r="AC47" i="8"/>
  <c r="D86" i="8"/>
  <c r="D116" i="8"/>
  <c r="D120" i="8" s="1"/>
  <c r="G120" i="8" s="1"/>
  <c r="D74" i="9"/>
  <c r="E85" i="9"/>
  <c r="G122" i="22"/>
  <c r="H122" i="22" s="1"/>
  <c r="G118" i="21"/>
  <c r="H118" i="21" s="1"/>
  <c r="E111" i="22"/>
  <c r="G117" i="21"/>
  <c r="H117" i="21" s="1"/>
  <c r="E110" i="22"/>
  <c r="AP45" i="8"/>
  <c r="D131" i="7"/>
  <c r="BR80" i="14"/>
  <c r="D108" i="13"/>
  <c r="D124" i="13" s="1"/>
  <c r="D126" i="13" s="1"/>
  <c r="G130" i="21"/>
  <c r="E123" i="22"/>
  <c r="D119" i="21"/>
  <c r="E112" i="22" s="1"/>
  <c r="N115" i="21"/>
  <c r="E109" i="22"/>
  <c r="N109" i="22" s="1"/>
  <c r="G116" i="21"/>
  <c r="F92" i="22"/>
  <c r="N108" i="22"/>
  <c r="G109" i="22"/>
  <c r="H109" i="22" s="1"/>
  <c r="F93" i="22"/>
  <c r="F68" i="2"/>
  <c r="H68" i="2" s="1"/>
  <c r="D78" i="2"/>
  <c r="D86" i="2" s="1"/>
  <c r="D97" i="2" s="1"/>
  <c r="AJ63" i="2"/>
  <c r="AJ66" i="2" s="1"/>
  <c r="H135" i="15"/>
  <c r="D116" i="14"/>
  <c r="F100" i="21"/>
  <c r="G131" i="9"/>
  <c r="H131" i="9" s="1"/>
  <c r="D153" i="13"/>
  <c r="D155" i="13" s="1"/>
  <c r="AQ60" i="20"/>
  <c r="E93" i="20"/>
  <c r="AS62" i="20"/>
  <c r="C266" i="20"/>
  <c r="D266" i="20" s="1"/>
  <c r="H111" i="17"/>
  <c r="Y45" i="8"/>
  <c r="X45" i="8"/>
  <c r="D125" i="20"/>
  <c r="H107" i="11"/>
  <c r="R47" i="8"/>
  <c r="D69" i="8"/>
  <c r="D74" i="20"/>
  <c r="AD61" i="20"/>
  <c r="AD63" i="20" s="1"/>
  <c r="AD9" i="21" s="1"/>
  <c r="AD69" i="21" s="1"/>
  <c r="AE61" i="20"/>
  <c r="AF45" i="8"/>
  <c r="AG45" i="8"/>
  <c r="F92" i="17"/>
  <c r="D257" i="17"/>
  <c r="D122" i="11"/>
  <c r="D124" i="11" s="1"/>
  <c r="D128" i="11" s="1"/>
  <c r="G128" i="11" s="1"/>
  <c r="H128" i="11" s="1"/>
  <c r="G111" i="11"/>
  <c r="F132" i="9"/>
  <c r="D114" i="7"/>
  <c r="D123" i="7" s="1"/>
  <c r="AN108" i="7"/>
  <c r="AN110" i="7" s="1"/>
  <c r="BR80" i="15"/>
  <c r="D73" i="20"/>
  <c r="D61" i="20"/>
  <c r="D63" i="20" s="1"/>
  <c r="E61" i="20"/>
  <c r="D118" i="14"/>
  <c r="AM61" i="20"/>
  <c r="D80" i="20"/>
  <c r="F80" i="20" s="1"/>
  <c r="AL61" i="20"/>
  <c r="AL63" i="20" s="1"/>
  <c r="AL9" i="21" s="1"/>
  <c r="AL69" i="21" s="1"/>
  <c r="D88" i="17"/>
  <c r="AV60" i="17"/>
  <c r="AW60" i="17"/>
  <c r="AW62" i="17" s="1"/>
  <c r="G105" i="17"/>
  <c r="L105" i="17"/>
  <c r="D108" i="17"/>
  <c r="G101" i="10"/>
  <c r="D103" i="10"/>
  <c r="D82" i="9"/>
  <c r="BJ59" i="9"/>
  <c r="L45" i="8"/>
  <c r="M45" i="8"/>
  <c r="H106" i="20"/>
  <c r="G109" i="20"/>
  <c r="E81" i="20"/>
  <c r="AN59" i="20"/>
  <c r="AZ58" i="17"/>
  <c r="AZ60" i="17" s="1"/>
  <c r="G126" i="9"/>
  <c r="BR77" i="15"/>
  <c r="F149" i="14"/>
  <c r="D81" i="17"/>
  <c r="F81" i="17" s="1"/>
  <c r="F78" i="17"/>
  <c r="L109" i="16"/>
  <c r="G109" i="16"/>
  <c r="D112" i="16"/>
  <c r="G123" i="20"/>
  <c r="H123" i="20" s="1"/>
  <c r="H112" i="20"/>
  <c r="E75" i="20"/>
  <c r="E76" i="20" s="1"/>
  <c r="AX59" i="20"/>
  <c r="D66" i="11"/>
  <c r="D78" i="11" s="1"/>
  <c r="D94" i="11" s="1"/>
  <c r="AH45" i="8"/>
  <c r="AI45" i="8"/>
  <c r="D85" i="8"/>
  <c r="AA47" i="8"/>
  <c r="D158" i="13"/>
  <c r="G134" i="13"/>
  <c r="F72" i="17"/>
  <c r="D75" i="17"/>
  <c r="G119" i="8"/>
  <c r="H119" i="8" s="1"/>
  <c r="D121" i="8"/>
  <c r="E79" i="20"/>
  <c r="AJ59" i="20"/>
  <c r="D97" i="9"/>
  <c r="BJ57" i="9"/>
  <c r="W45" i="8"/>
  <c r="V45" i="8"/>
  <c r="G135" i="14"/>
  <c r="D142" i="14"/>
  <c r="D144" i="14" s="1"/>
  <c r="D148" i="14" s="1"/>
  <c r="H122" i="21"/>
  <c r="BR64" i="16"/>
  <c r="G118" i="16"/>
  <c r="D126" i="16"/>
  <c r="D117" i="15"/>
  <c r="D212" i="15" s="1"/>
  <c r="D214" i="15" s="1"/>
  <c r="D187" i="7"/>
  <c r="G187" i="7" s="1"/>
  <c r="G185" i="7"/>
  <c r="D150" i="15"/>
  <c r="D152" i="15" s="1"/>
  <c r="D156" i="15" s="1"/>
  <c r="G141" i="15"/>
  <c r="H120" i="8"/>
  <c r="F121" i="8"/>
  <c r="J60" i="17"/>
  <c r="D113" i="17"/>
  <c r="K60" i="17"/>
  <c r="AP13" i="8"/>
  <c r="E57" i="8"/>
  <c r="E64" i="8" s="1"/>
  <c r="E75" i="8" s="1"/>
  <c r="D43" i="8"/>
  <c r="G127" i="11"/>
  <c r="H127" i="11" s="1"/>
  <c r="D126" i="9"/>
  <c r="D128" i="9" s="1"/>
  <c r="D132" i="9" s="1"/>
  <c r="D123" i="10"/>
  <c r="G153" i="13"/>
  <c r="H153" i="13" s="1"/>
  <c r="G128" i="14"/>
  <c r="H125" i="14"/>
  <c r="G126" i="22" l="1"/>
  <c r="H126" i="22" s="1"/>
  <c r="D134" i="7"/>
  <c r="D149" i="7" s="1"/>
  <c r="AZ59" i="20"/>
  <c r="D135" i="21"/>
  <c r="E128" i="22" s="1"/>
  <c r="D74" i="10"/>
  <c r="D90" i="10" s="1"/>
  <c r="D92" i="10" s="1"/>
  <c r="F91" i="24"/>
  <c r="D92" i="24"/>
  <c r="F92" i="24" s="1"/>
  <c r="G133" i="21"/>
  <c r="H133" i="21" s="1"/>
  <c r="AZ65" i="24"/>
  <c r="D85" i="9"/>
  <c r="D100" i="9" s="1"/>
  <c r="D120" i="10"/>
  <c r="D124" i="10" s="1"/>
  <c r="G124" i="10" s="1"/>
  <c r="H124" i="10" s="1"/>
  <c r="H108" i="10"/>
  <c r="G118" i="10"/>
  <c r="H118" i="10" s="1"/>
  <c r="G121" i="8"/>
  <c r="D128" i="16"/>
  <c r="D132" i="16" s="1"/>
  <c r="D119" i="15"/>
  <c r="H102" i="8"/>
  <c r="H116" i="21"/>
  <c r="G119" i="21"/>
  <c r="H119" i="21" s="1"/>
  <c r="D129" i="11"/>
  <c r="G129" i="11" s="1"/>
  <c r="H129" i="11" s="1"/>
  <c r="G112" i="22"/>
  <c r="H112" i="22" s="1"/>
  <c r="G132" i="9"/>
  <c r="D133" i="9"/>
  <c r="G156" i="15"/>
  <c r="H156" i="15" s="1"/>
  <c r="D157" i="15"/>
  <c r="G157" i="15" s="1"/>
  <c r="H157" i="15" s="1"/>
  <c r="G148" i="14"/>
  <c r="H148" i="14" s="1"/>
  <c r="D149" i="14"/>
  <c r="G149" i="14" s="1"/>
  <c r="H149" i="14" s="1"/>
  <c r="H134" i="13"/>
  <c r="G137" i="13"/>
  <c r="D191" i="7"/>
  <c r="D151" i="7"/>
  <c r="H111" i="11"/>
  <c r="G122" i="11"/>
  <c r="H141" i="15"/>
  <c r="G150" i="15"/>
  <c r="H135" i="14"/>
  <c r="G142" i="14"/>
  <c r="H142" i="14" s="1"/>
  <c r="D102" i="9"/>
  <c r="G158" i="13"/>
  <c r="H158" i="13" s="1"/>
  <c r="AH47" i="8"/>
  <c r="D62" i="8"/>
  <c r="AN61" i="20"/>
  <c r="AN63" i="20" s="1"/>
  <c r="AN9" i="21" s="1"/>
  <c r="AN69" i="21" s="1"/>
  <c r="D81" i="20"/>
  <c r="F81" i="20" s="1"/>
  <c r="AO61" i="20"/>
  <c r="H105" i="17"/>
  <c r="G108" i="17"/>
  <c r="D89" i="17"/>
  <c r="F88" i="17"/>
  <c r="E83" i="21"/>
  <c r="F73" i="20"/>
  <c r="E84" i="21"/>
  <c r="F74" i="20"/>
  <c r="D159" i="13"/>
  <c r="G159" i="13" s="1"/>
  <c r="H159" i="13" s="1"/>
  <c r="H128" i="14"/>
  <c r="E45" i="8"/>
  <c r="AP43" i="8"/>
  <c r="D45" i="8"/>
  <c r="G113" i="17"/>
  <c r="D122" i="17"/>
  <c r="D124" i="17" s="1"/>
  <c r="H118" i="16"/>
  <c r="G126" i="16"/>
  <c r="H126" i="16" s="1"/>
  <c r="AE71" i="21"/>
  <c r="AD71" i="21"/>
  <c r="AD73" i="21" s="1"/>
  <c r="AD9" i="22" s="1"/>
  <c r="AD62" i="22" s="1"/>
  <c r="D84" i="21"/>
  <c r="E77" i="22" s="1"/>
  <c r="D129" i="20"/>
  <c r="D221" i="20"/>
  <c r="D229" i="20" s="1"/>
  <c r="G123" i="10"/>
  <c r="H123" i="10" s="1"/>
  <c r="H121" i="8"/>
  <c r="D71" i="8"/>
  <c r="D72" i="8" s="1"/>
  <c r="V47" i="8"/>
  <c r="AJ61" i="20"/>
  <c r="AJ63" i="20" s="1"/>
  <c r="AJ9" i="21" s="1"/>
  <c r="AJ69" i="21" s="1"/>
  <c r="D79" i="20"/>
  <c r="AK61" i="20"/>
  <c r="D84" i="17"/>
  <c r="F75" i="17"/>
  <c r="D90" i="21"/>
  <c r="F90" i="21" s="1"/>
  <c r="AL71" i="21"/>
  <c r="AL73" i="21" s="1"/>
  <c r="AM71" i="21"/>
  <c r="D61" i="8"/>
  <c r="AF47" i="8"/>
  <c r="AP61" i="20"/>
  <c r="D93" i="20"/>
  <c r="AQ61" i="20"/>
  <c r="AQ63" i="20" s="1"/>
  <c r="AQ9" i="21" s="1"/>
  <c r="AQ70" i="21" s="1"/>
  <c r="H109" i="16"/>
  <c r="G112" i="16"/>
  <c r="G128" i="9"/>
  <c r="H128" i="9" s="1"/>
  <c r="H126" i="9"/>
  <c r="D59" i="8"/>
  <c r="L47" i="8"/>
  <c r="H101" i="10"/>
  <c r="G103" i="10"/>
  <c r="AS63" i="20"/>
  <c r="E82" i="20"/>
  <c r="E85" i="20" s="1"/>
  <c r="AX61" i="20"/>
  <c r="AX63" i="20" s="1"/>
  <c r="AX9" i="21" s="1"/>
  <c r="AX69" i="21" s="1"/>
  <c r="D75" i="20"/>
  <c r="AY61" i="20"/>
  <c r="H109" i="20"/>
  <c r="G125" i="20"/>
  <c r="H125" i="20" s="1"/>
  <c r="D9" i="21"/>
  <c r="F133" i="9"/>
  <c r="H132" i="9"/>
  <c r="Y47" i="8"/>
  <c r="D84" i="8"/>
  <c r="D87" i="8" s="1"/>
  <c r="D96" i="11"/>
  <c r="D122" i="15"/>
  <c r="D222" i="16" l="1"/>
  <c r="D230" i="16" s="1"/>
  <c r="G135" i="21"/>
  <c r="H135" i="21" s="1"/>
  <c r="AL9" i="22"/>
  <c r="AL62" i="22" s="1"/>
  <c r="AL64" i="22" s="1"/>
  <c r="AL66" i="22" s="1"/>
  <c r="AL9" i="24" s="1"/>
  <c r="AL62" i="24" s="1"/>
  <c r="J171" i="21"/>
  <c r="D132" i="11"/>
  <c r="F83" i="22"/>
  <c r="D160" i="15"/>
  <c r="AE64" i="22"/>
  <c r="D77" i="22"/>
  <c r="F77" i="22" s="1"/>
  <c r="AD64" i="22"/>
  <c r="AD66" i="22" s="1"/>
  <c r="J166" i="22"/>
  <c r="G128" i="22"/>
  <c r="H128" i="22" s="1"/>
  <c r="AO71" i="21"/>
  <c r="D91" i="21"/>
  <c r="F91" i="21" s="1"/>
  <c r="AN71" i="21"/>
  <c r="AN73" i="21" s="1"/>
  <c r="G191" i="7"/>
  <c r="D192" i="7"/>
  <c r="G192" i="7" s="1"/>
  <c r="D82" i="20"/>
  <c r="F82" i="20" s="1"/>
  <c r="F79" i="20"/>
  <c r="AU62" i="20"/>
  <c r="AZ62" i="20" s="1"/>
  <c r="C269" i="20"/>
  <c r="D130" i="20"/>
  <c r="G132" i="16"/>
  <c r="H132" i="16" s="1"/>
  <c r="D133" i="16"/>
  <c r="G133" i="16" s="1"/>
  <c r="H133" i="16" s="1"/>
  <c r="C268" i="16"/>
  <c r="D268" i="16" s="1"/>
  <c r="D270" i="16" s="1"/>
  <c r="BE65" i="16"/>
  <c r="H122" i="11"/>
  <c r="G124" i="11"/>
  <c r="H124" i="11" s="1"/>
  <c r="H137" i="13"/>
  <c r="G155" i="13"/>
  <c r="H155" i="13" s="1"/>
  <c r="D217" i="17"/>
  <c r="D225" i="17" s="1"/>
  <c r="D128" i="17"/>
  <c r="AS9" i="21"/>
  <c r="D94" i="20"/>
  <c r="F94" i="20" s="1"/>
  <c r="D263" i="20"/>
  <c r="F93" i="20"/>
  <c r="F84" i="21"/>
  <c r="D152" i="14"/>
  <c r="F89" i="17"/>
  <c r="H150" i="15"/>
  <c r="G152" i="15"/>
  <c r="H152" i="15" s="1"/>
  <c r="G133" i="9"/>
  <c r="H133" i="9" s="1"/>
  <c r="AP71" i="21"/>
  <c r="AQ71" i="21"/>
  <c r="AQ73" i="21" s="1"/>
  <c r="D103" i="21"/>
  <c r="E96" i="22" s="1"/>
  <c r="D57" i="8"/>
  <c r="D64" i="8" s="1"/>
  <c r="D75" i="8" s="1"/>
  <c r="D90" i="8" s="1"/>
  <c r="D47" i="8"/>
  <c r="AP47" i="8" s="1"/>
  <c r="D69" i="21"/>
  <c r="H112" i="16"/>
  <c r="G128" i="16"/>
  <c r="H128" i="16" s="1"/>
  <c r="D160" i="13"/>
  <c r="E85" i="21"/>
  <c r="F75" i="20"/>
  <c r="D89" i="21"/>
  <c r="AJ71" i="21"/>
  <c r="AJ73" i="21" s="1"/>
  <c r="AK71" i="21"/>
  <c r="D125" i="10"/>
  <c r="D92" i="8"/>
  <c r="AY71" i="21"/>
  <c r="D85" i="21"/>
  <c r="E78" i="22" s="1"/>
  <c r="AX71" i="21"/>
  <c r="AX73" i="21" s="1"/>
  <c r="AX9" i="22" s="1"/>
  <c r="AX62" i="22" s="1"/>
  <c r="H103" i="10"/>
  <c r="G120" i="10"/>
  <c r="H120" i="10" s="1"/>
  <c r="F84" i="17"/>
  <c r="D124" i="15"/>
  <c r="H113" i="17"/>
  <c r="G122" i="17"/>
  <c r="H122" i="17" s="1"/>
  <c r="G144" i="14"/>
  <c r="H144" i="14" s="1"/>
  <c r="D76" i="20"/>
  <c r="H108" i="17"/>
  <c r="D136" i="9"/>
  <c r="AM64" i="22" l="1"/>
  <c r="AQ9" i="22"/>
  <c r="AQ63" i="22" s="1"/>
  <c r="AQ9" i="24" s="1"/>
  <c r="AQ63" i="24" s="1"/>
  <c r="AM64" i="24"/>
  <c r="AL64" i="24"/>
  <c r="AL66" i="24" s="1"/>
  <c r="D82" i="24"/>
  <c r="F82" i="24" s="1"/>
  <c r="AN9" i="22"/>
  <c r="AN62" i="22" s="1"/>
  <c r="AJ9" i="22"/>
  <c r="AJ62" i="22" s="1"/>
  <c r="AJ64" i="22" s="1"/>
  <c r="AJ66" i="22" s="1"/>
  <c r="AJ9" i="24" s="1"/>
  <c r="AP64" i="22"/>
  <c r="AO64" i="22"/>
  <c r="AN64" i="22"/>
  <c r="AN66" i="22" s="1"/>
  <c r="AN9" i="24" s="1"/>
  <c r="AN62" i="24" s="1"/>
  <c r="F84" i="22"/>
  <c r="G124" i="17"/>
  <c r="H124" i="17" s="1"/>
  <c r="F78" i="22"/>
  <c r="AX64" i="22"/>
  <c r="AX66" i="22" s="1"/>
  <c r="AY64" i="22"/>
  <c r="D85" i="20"/>
  <c r="E86" i="21"/>
  <c r="F76" i="20"/>
  <c r="J211" i="21"/>
  <c r="F103" i="21"/>
  <c r="C263" i="17"/>
  <c r="D263" i="17" s="1"/>
  <c r="D265" i="17" s="1"/>
  <c r="AU61" i="17"/>
  <c r="D129" i="17"/>
  <c r="G160" i="13"/>
  <c r="H160" i="13" s="1"/>
  <c r="D163" i="13"/>
  <c r="D83" i="21"/>
  <c r="E76" i="22" s="1"/>
  <c r="AZ69" i="21"/>
  <c r="E71" i="21"/>
  <c r="D71" i="21"/>
  <c r="D73" i="21" s="1"/>
  <c r="D9" i="22" s="1"/>
  <c r="D92" i="21"/>
  <c r="F92" i="21" s="1"/>
  <c r="F89" i="21"/>
  <c r="BR65" i="16"/>
  <c r="BE66" i="16"/>
  <c r="F85" i="21"/>
  <c r="G125" i="10"/>
  <c r="H125" i="10" s="1"/>
  <c r="D128" i="10"/>
  <c r="J174" i="21"/>
  <c r="I174" i="21" s="1"/>
  <c r="J176" i="21" s="1"/>
  <c r="J177" i="21" s="1"/>
  <c r="AS70" i="21"/>
  <c r="AQ64" i="22" l="1"/>
  <c r="AQ66" i="22" s="1"/>
  <c r="AK64" i="22"/>
  <c r="D83" i="24"/>
  <c r="F83" i="24" s="1"/>
  <c r="AO64" i="24"/>
  <c r="AN64" i="24"/>
  <c r="AN66" i="24" s="1"/>
  <c r="AP64" i="24"/>
  <c r="AQ64" i="24"/>
  <c r="AQ66" i="24" s="1"/>
  <c r="D95" i="24"/>
  <c r="AJ62" i="24"/>
  <c r="F96" i="22"/>
  <c r="J205" i="22"/>
  <c r="D62" i="22"/>
  <c r="F85" i="22"/>
  <c r="F82" i="22"/>
  <c r="D98" i="16"/>
  <c r="D99" i="16" s="1"/>
  <c r="BR66" i="16"/>
  <c r="AZ61" i="17"/>
  <c r="AU62" i="17"/>
  <c r="AR71" i="21"/>
  <c r="AS71" i="21"/>
  <c r="D138" i="21"/>
  <c r="J179" i="21"/>
  <c r="D86" i="21"/>
  <c r="E79" i="22" s="1"/>
  <c r="F83" i="21"/>
  <c r="E95" i="21"/>
  <c r="F85" i="20"/>
  <c r="J204" i="24" l="1"/>
  <c r="F95" i="24"/>
  <c r="AK64" i="24"/>
  <c r="AZ62" i="24"/>
  <c r="AJ64" i="24"/>
  <c r="AJ66" i="24" s="1"/>
  <c r="D81" i="24"/>
  <c r="E64" i="22"/>
  <c r="D64" i="22"/>
  <c r="D66" i="22" s="1"/>
  <c r="D76" i="22"/>
  <c r="AZ62" i="22"/>
  <c r="D95" i="21"/>
  <c r="E88" i="22" s="1"/>
  <c r="F86" i="21"/>
  <c r="I214" i="21"/>
  <c r="J214" i="21" s="1"/>
  <c r="AS72" i="21"/>
  <c r="AS73" i="21" s="1"/>
  <c r="D139" i="21"/>
  <c r="D140" i="21" s="1"/>
  <c r="AU8" i="20"/>
  <c r="D94" i="17"/>
  <c r="AZ62" i="17"/>
  <c r="D102" i="16"/>
  <c r="D136" i="16" s="1"/>
  <c r="E136" i="16" s="1"/>
  <c r="D137" i="16"/>
  <c r="E137" i="16" s="1"/>
  <c r="D84" i="24" l="1"/>
  <c r="F81" i="24"/>
  <c r="AS9" i="22"/>
  <c r="J169" i="22" s="1"/>
  <c r="I169" i="22" s="1"/>
  <c r="J171" i="22" s="1"/>
  <c r="J172" i="22" s="1"/>
  <c r="D101" i="24"/>
  <c r="F101" i="24" s="1"/>
  <c r="F98" i="24"/>
  <c r="F76" i="22"/>
  <c r="AU60" i="20"/>
  <c r="E95" i="20"/>
  <c r="AZ8" i="20"/>
  <c r="AU72" i="21"/>
  <c r="AZ72" i="21" s="1"/>
  <c r="I217" i="21"/>
  <c r="J217" i="21" s="1"/>
  <c r="D104" i="21"/>
  <c r="E97" i="22" s="1"/>
  <c r="I207" i="22" s="1"/>
  <c r="F94" i="17"/>
  <c r="D95" i="17"/>
  <c r="J219" i="21"/>
  <c r="F95" i="21"/>
  <c r="AS63" i="22" l="1"/>
  <c r="AS63" i="24"/>
  <c r="I168" i="24"/>
  <c r="F84" i="24"/>
  <c r="D87" i="24"/>
  <c r="AR64" i="22"/>
  <c r="AS64" i="22"/>
  <c r="F88" i="22"/>
  <c r="F79" i="22"/>
  <c r="D131" i="22"/>
  <c r="J174" i="22"/>
  <c r="F95" i="17"/>
  <c r="D133" i="17"/>
  <c r="E133" i="17" s="1"/>
  <c r="D98" i="17"/>
  <c r="F104" i="21"/>
  <c r="C268" i="20"/>
  <c r="D269" i="20" s="1"/>
  <c r="D271" i="20" s="1"/>
  <c r="E96" i="20"/>
  <c r="E99" i="20" s="1"/>
  <c r="AU61" i="20"/>
  <c r="AU63" i="20" s="1"/>
  <c r="AT61" i="20"/>
  <c r="AZ60" i="20"/>
  <c r="AZ61" i="20" s="1"/>
  <c r="D135" i="24" l="1"/>
  <c r="E135" i="24" s="1"/>
  <c r="F87" i="24"/>
  <c r="AS64" i="24"/>
  <c r="AS66" i="24" s="1"/>
  <c r="AR64" i="24"/>
  <c r="I208" i="22"/>
  <c r="J208" i="22" s="1"/>
  <c r="AS65" i="22"/>
  <c r="D132" i="22"/>
  <c r="AU9" i="21"/>
  <c r="D95" i="20"/>
  <c r="AZ63" i="20"/>
  <c r="F98" i="17"/>
  <c r="D132" i="17"/>
  <c r="E132" i="17" s="1"/>
  <c r="I207" i="24" l="1"/>
  <c r="J207" i="24" s="1"/>
  <c r="D131" i="24"/>
  <c r="I210" i="24" s="1"/>
  <c r="J210" i="24" s="1"/>
  <c r="J212" i="24" s="1"/>
  <c r="I211" i="22"/>
  <c r="AU65" i="22"/>
  <c r="AZ65" i="22" s="1"/>
  <c r="D133" i="22"/>
  <c r="AS66" i="22"/>
  <c r="F95" i="20"/>
  <c r="D96" i="20"/>
  <c r="AU70" i="21"/>
  <c r="AZ9" i="21"/>
  <c r="D132" i="24" l="1"/>
  <c r="D136" i="24" s="1"/>
  <c r="E136" i="24" s="1"/>
  <c r="AU71" i="21"/>
  <c r="AU73" i="21" s="1"/>
  <c r="AT71" i="21"/>
  <c r="AZ70" i="21"/>
  <c r="AZ71" i="21" s="1"/>
  <c r="D99" i="20"/>
  <c r="F96" i="20"/>
  <c r="D134" i="20"/>
  <c r="E134" i="20" s="1"/>
  <c r="AU9" i="22" l="1"/>
  <c r="AU63" i="22"/>
  <c r="AZ9" i="22"/>
  <c r="F97" i="22"/>
  <c r="F99" i="20"/>
  <c r="D133" i="20"/>
  <c r="E133" i="20" s="1"/>
  <c r="D105" i="21"/>
  <c r="E98" i="22" s="1"/>
  <c r="I210" i="22" s="1"/>
  <c r="J211" i="22" s="1"/>
  <c r="J213" i="22" s="1"/>
  <c r="AZ73" i="21"/>
  <c r="AU63" i="24" l="1"/>
  <c r="AZ9" i="24"/>
  <c r="AT64" i="22"/>
  <c r="AU64" i="22"/>
  <c r="AU66" i="22" s="1"/>
  <c r="AZ63" i="22"/>
  <c r="AZ64" i="22" s="1"/>
  <c r="F105" i="21"/>
  <c r="D106" i="21"/>
  <c r="E99" i="22" s="1"/>
  <c r="AT64" i="24" l="1"/>
  <c r="AU64" i="24"/>
  <c r="AU66" i="24" s="1"/>
  <c r="AZ66" i="24" s="1"/>
  <c r="AZ63" i="24"/>
  <c r="AZ64" i="24" s="1"/>
  <c r="AZ66" i="22"/>
  <c r="F106" i="21"/>
  <c r="D144" i="21"/>
  <c r="E144" i="21" s="1"/>
  <c r="D109" i="21"/>
  <c r="E102" i="22" s="1"/>
  <c r="F98" i="22" l="1"/>
  <c r="F109" i="21"/>
  <c r="D143" i="21"/>
  <c r="E143" i="21" s="1"/>
  <c r="D137" i="22" l="1"/>
  <c r="E137" i="22" s="1"/>
  <c r="F99" i="22"/>
  <c r="F102" i="22" l="1"/>
  <c r="D136" i="22"/>
  <c r="E136" i="22" s="1"/>
</calcChain>
</file>

<file path=xl/comments1.xml><?xml version="1.0" encoding="utf-8"?>
<comments xmlns="http://schemas.openxmlformats.org/spreadsheetml/2006/main">
  <authors>
    <author>Fredrik Håve</author>
    <author>Microsoft Office-bruker</author>
    <author>John Magne Kalhovde</author>
  </authors>
  <commentList>
    <comment ref="B70" authorId="0" shapeId="0">
      <text>
        <r>
          <rPr>
            <b/>
            <sz val="12"/>
            <color rgb="FF000000"/>
            <rFont val="Tahoma"/>
            <family val="2"/>
          </rPr>
          <t>Info: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>Tallene hentes fra posteringene over - IKKE RØR!</t>
        </r>
      </text>
    </comment>
    <comment ref="B104" authorId="0" shapeId="0">
      <text>
        <r>
          <rPr>
            <b/>
            <sz val="9"/>
            <color rgb="FF000000"/>
            <rFont val="Tahoma"/>
            <family val="2"/>
          </rPr>
          <t>Info: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Tallene hentes fra posteringene over - KUN BUDSJETT SKAL LEGGES INN!</t>
        </r>
      </text>
    </comment>
    <comment ref="K119" authorId="1" shapeId="0">
      <text>
        <r>
          <rPr>
            <b/>
            <sz val="12"/>
            <color indexed="81"/>
            <rFont val="Calibri"/>
            <family val="2"/>
          </rPr>
          <t>Info:</t>
        </r>
        <r>
          <rPr>
            <sz val="12"/>
            <color indexed="81"/>
            <rFont val="Calibri"/>
            <family val="2"/>
          </rPr>
          <t xml:space="preserve">
Beløp justert for 2017</t>
        </r>
      </text>
    </comment>
    <comment ref="B148" authorId="1" shapeId="0">
      <text>
        <r>
          <rPr>
            <b/>
            <sz val="12"/>
            <color rgb="FF000000"/>
            <rFont val="Calibri"/>
            <family val="2"/>
          </rPr>
          <t>Betalt via faktura</t>
        </r>
        <r>
          <rPr>
            <sz val="12"/>
            <color rgb="FF000000"/>
            <rFont val="Calibri"/>
            <family val="2"/>
          </rPr>
          <t xml:space="preserve">
</t>
        </r>
      </text>
    </comment>
    <comment ref="F164" authorId="0" shapeId="0">
      <text>
        <r>
          <rPr>
            <b/>
            <sz val="11"/>
            <color indexed="81"/>
            <rFont val="Tahoma"/>
            <family val="2"/>
          </rPr>
          <t>Info:</t>
        </r>
        <r>
          <rPr>
            <sz val="11"/>
            <color indexed="81"/>
            <rFont val="Tahoma"/>
            <family val="2"/>
          </rPr>
          <t xml:space="preserve">
celler i grått inneholder formler som beregner disponeringen - IKKE RØR!</t>
        </r>
      </text>
    </comment>
    <comment ref="J167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kontoutskrift 31.12. for plasseringskonto.</t>
        </r>
      </text>
    </comment>
    <comment ref="B168" authorId="1" shapeId="0">
      <text>
        <r>
          <rPr>
            <b/>
            <sz val="12"/>
            <color rgb="FF000000"/>
            <rFont val="Calibri"/>
            <family val="2"/>
          </rPr>
          <t>Det har ikke vært søkt om midler siste årene, dermed overføres disse midlene til Vel-arrangement</t>
        </r>
      </text>
    </comment>
    <comment ref="J169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kontoutskrift 31.12. for plasseringskonto.</t>
        </r>
      </text>
    </comment>
    <comment ref="F171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§9 i vedtekene.</t>
        </r>
      </text>
    </comment>
    <comment ref="B180" authorId="1" shapeId="0">
      <text>
        <r>
          <rPr>
            <b/>
            <sz val="12"/>
            <color rgb="FF000000"/>
            <rFont val="Calibri"/>
            <family val="2"/>
          </rPr>
          <t xml:space="preserve">Vi hadde ansvar i 2017, neste gang 2019
</t>
        </r>
      </text>
    </comment>
    <comment ref="B200" authorId="2" shapeId="0">
      <text>
        <r>
          <rPr>
            <b/>
            <sz val="10"/>
            <color rgb="FF000000"/>
            <rFont val="Tahoma"/>
            <family val="2"/>
          </rPr>
          <t>John Magne Kalhovde: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Fylt på i 2017, vurderes til ingen behov i 2018</t>
        </r>
      </text>
    </comment>
    <comment ref="F203" authorId="0" shapeId="0">
      <text>
        <r>
          <rPr>
            <b/>
            <sz val="11"/>
            <color rgb="FF000000"/>
            <rFont val="Tahoma"/>
            <family val="2"/>
          </rPr>
          <t>Info:</t>
        </r>
        <r>
          <rPr>
            <sz val="11"/>
            <color rgb="FF000000"/>
            <rFont val="Tahoma"/>
            <family val="2"/>
          </rPr>
          <t xml:space="preserve">
</t>
        </r>
        <r>
          <rPr>
            <sz val="11"/>
            <color rgb="FF000000"/>
            <rFont val="Tahoma"/>
            <family val="2"/>
          </rPr>
          <t>celler i grått inneholder formler som beregner disponeringen - IKKE RØR</t>
        </r>
      </text>
    </comment>
    <comment ref="B210" authorId="1" shapeId="0">
      <text>
        <r>
          <rPr>
            <sz val="12"/>
            <color rgb="FF000000"/>
            <rFont val="Calibri"/>
            <family val="2"/>
          </rPr>
          <t xml:space="preserve">Vi ønsker å utvikle en trenings- og aktivitetspark på ballplassen som i dag brukes svært lite. Vi vil søke eksterne midler flere steder, men trenger også å bidrea med egne midler
</t>
        </r>
      </text>
    </comment>
  </commentList>
</comments>
</file>

<file path=xl/comments10.xml><?xml version="1.0" encoding="utf-8"?>
<comments xmlns="http://schemas.openxmlformats.org/spreadsheetml/2006/main">
  <authors>
    <author>Steinar Granum</author>
  </authors>
  <commentList>
    <comment ref="AD39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</t>
        </r>
      </text>
    </comment>
    <comment ref="D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J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L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N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P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R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T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V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X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Z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B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F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H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J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L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N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P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R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T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V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X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Z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B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D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F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H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J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</commentList>
</comments>
</file>

<file path=xl/comments11.xml><?xml version="1.0" encoding="utf-8"?>
<comments xmlns="http://schemas.openxmlformats.org/spreadsheetml/2006/main">
  <authors>
    <author>Steinar Granum</author>
  </authors>
  <commentList>
    <comment ref="F33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B39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</t>
        </r>
      </text>
    </comment>
    <comment ref="D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F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H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J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L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N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P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R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T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V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X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Z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B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D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F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H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J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L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N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P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R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T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V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X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Z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B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D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F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H5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</commentList>
</comments>
</file>

<file path=xl/comments12.xml><?xml version="1.0" encoding="utf-8"?>
<comments xmlns="http://schemas.openxmlformats.org/spreadsheetml/2006/main">
  <authors>
    <author>Steinar Granum</author>
  </authors>
  <commentList>
    <comment ref="F33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L39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L45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</commentList>
</comments>
</file>

<file path=xl/comments13.xml><?xml version="1.0" encoding="utf-8"?>
<comments xmlns="http://schemas.openxmlformats.org/spreadsheetml/2006/main">
  <authors>
    <author>Steinar Granum</author>
  </authors>
  <commentList>
    <comment ref="AE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Lagt til oversk. Kr 3576,63</t>
        </r>
      </text>
    </comment>
  </commentList>
</comments>
</file>

<file path=xl/comments14.xml><?xml version="1.0" encoding="utf-8"?>
<comments xmlns="http://schemas.openxmlformats.org/spreadsheetml/2006/main">
  <authors>
    <author>Steinar Granum</author>
  </authors>
  <commentList>
    <comment ref="AG7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Hva er dette UB tilsier 628 i gjeld (Nettet mot fordring HS i endelig regnskap</t>
        </r>
      </text>
    </comment>
  </commentList>
</comments>
</file>

<file path=xl/comments15.xml><?xml version="1.0" encoding="utf-8"?>
<comments xmlns="http://schemas.openxmlformats.org/spreadsheetml/2006/main">
  <authors>
    <author>Steinar Granum</author>
  </authors>
  <commentList>
    <comment ref="AI9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Utlegg Markhus 912
Komm. Avg. 1128
Dobbelt innbet velavg. 400
Korps julegrantenning 3000</t>
        </r>
      </text>
    </comment>
    <comment ref="AJ9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Fordring festkomite 5697
Fordring Holumskogen Vel 2050
</t>
        </r>
      </text>
    </comment>
  </commentList>
</comments>
</file>

<file path=xl/comments2.xml><?xml version="1.0" encoding="utf-8"?>
<comments xmlns="http://schemas.openxmlformats.org/spreadsheetml/2006/main">
  <authors>
    <author>Fredrik Håve</author>
    <author>Microsoft Office-bruker</author>
    <author>John Magne Kalhovde</author>
  </authors>
  <commentList>
    <comment ref="B70" authorId="0" shapeId="0">
      <text>
        <r>
          <rPr>
            <b/>
            <sz val="12"/>
            <color rgb="FF000000"/>
            <rFont val="Tahoma"/>
            <family val="2"/>
          </rPr>
          <t>Info: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>Tallene hentes fra posteringene over - IKKE RØR!</t>
        </r>
      </text>
    </comment>
    <comment ref="B105" authorId="0" shapeId="0">
      <text>
        <r>
          <rPr>
            <b/>
            <sz val="9"/>
            <color rgb="FF000000"/>
            <rFont val="Tahoma"/>
            <family val="2"/>
          </rPr>
          <t>Info: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Tallene hentes fra posteringene over - KUN BUDSJETT SKAL LEGGES INN!</t>
        </r>
      </text>
    </comment>
    <comment ref="K120" authorId="1" shapeId="0">
      <text>
        <r>
          <rPr>
            <b/>
            <sz val="12"/>
            <color indexed="81"/>
            <rFont val="Calibri"/>
            <family val="2"/>
          </rPr>
          <t>Info:</t>
        </r>
        <r>
          <rPr>
            <sz val="12"/>
            <color indexed="81"/>
            <rFont val="Calibri"/>
            <family val="2"/>
          </rPr>
          <t xml:space="preserve">
Beløp justert for 2017</t>
        </r>
      </text>
    </comment>
    <comment ref="B149" authorId="1" shapeId="0">
      <text>
        <r>
          <rPr>
            <b/>
            <sz val="12"/>
            <color rgb="FF000000"/>
            <rFont val="Calibri"/>
            <family val="2"/>
          </rPr>
          <t>Betalt via faktura</t>
        </r>
        <r>
          <rPr>
            <sz val="12"/>
            <color rgb="FF000000"/>
            <rFont val="Calibri"/>
            <family val="2"/>
          </rPr>
          <t xml:space="preserve">
</t>
        </r>
      </text>
    </comment>
    <comment ref="F165" authorId="0" shapeId="0">
      <text>
        <r>
          <rPr>
            <b/>
            <sz val="11"/>
            <color indexed="81"/>
            <rFont val="Tahoma"/>
            <family val="2"/>
          </rPr>
          <t>Info:</t>
        </r>
        <r>
          <rPr>
            <sz val="11"/>
            <color indexed="81"/>
            <rFont val="Tahoma"/>
            <family val="2"/>
          </rPr>
          <t xml:space="preserve">
celler i grått inneholder formler som beregner disponeringen - IKKE RØR!</t>
        </r>
      </text>
    </comment>
    <comment ref="J168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kontoutskrift 31.12. for plasseringskonto.</t>
        </r>
      </text>
    </comment>
    <comment ref="B169" authorId="1" shapeId="0">
      <text>
        <r>
          <rPr>
            <b/>
            <sz val="12"/>
            <color rgb="FF000000"/>
            <rFont val="Calibri"/>
            <family val="2"/>
          </rPr>
          <t>Det har ikke vært søkt om midler siste årene, dermed overføres disse midlene til Vel-arrangement</t>
        </r>
      </text>
    </comment>
    <comment ref="J170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kontoutskrift 31.12. for plasseringskonto.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§9 i vedtekene.</t>
        </r>
      </text>
    </comment>
    <comment ref="B181" authorId="1" shapeId="0">
      <text>
        <r>
          <rPr>
            <b/>
            <sz val="12"/>
            <color rgb="FF000000"/>
            <rFont val="Calibri"/>
            <family val="2"/>
          </rPr>
          <t xml:space="preserve">Vi hadde ansvar i 2017, neste gang 2019
</t>
        </r>
      </text>
    </comment>
    <comment ref="B201" authorId="2" shapeId="0">
      <text>
        <r>
          <rPr>
            <b/>
            <sz val="10"/>
            <color rgb="FF000000"/>
            <rFont val="Tahoma"/>
            <family val="2"/>
          </rPr>
          <t>John Magne Kalhovde: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Fylt på i 2017, vurderes til ingen behov i 2018</t>
        </r>
      </text>
    </comment>
    <comment ref="F204" authorId="0" shapeId="0">
      <text>
        <r>
          <rPr>
            <b/>
            <sz val="11"/>
            <color rgb="FF000000"/>
            <rFont val="Tahoma"/>
            <family val="2"/>
          </rPr>
          <t>Info:</t>
        </r>
        <r>
          <rPr>
            <sz val="11"/>
            <color rgb="FF000000"/>
            <rFont val="Tahoma"/>
            <family val="2"/>
          </rPr>
          <t xml:space="preserve">
</t>
        </r>
        <r>
          <rPr>
            <sz val="11"/>
            <color rgb="FF000000"/>
            <rFont val="Tahoma"/>
            <family val="2"/>
          </rPr>
          <t>celler i grått inneholder formler som beregner disponeringen - IKKE RØR</t>
        </r>
      </text>
    </comment>
    <comment ref="B211" authorId="1" shapeId="0">
      <text>
        <r>
          <rPr>
            <sz val="12"/>
            <color rgb="FF000000"/>
            <rFont val="Calibri"/>
            <family val="2"/>
          </rPr>
          <t xml:space="preserve">Vi ønsker å utvikle en trenings- og aktivitetspark på ballplassen som i dag brukes svært lite. Vi vil søke eksterne midler flere steder, men trenger også å bidrea med egne midler
</t>
        </r>
      </text>
    </comment>
  </commentList>
</comments>
</file>

<file path=xl/comments3.xml><?xml version="1.0" encoding="utf-8"?>
<comments xmlns="http://schemas.openxmlformats.org/spreadsheetml/2006/main">
  <authors>
    <author>Microsoft Office-bruker</author>
    <author>Fredrik Håve</author>
  </authors>
  <commentList>
    <comment ref="B60" authorId="0" shapeId="0">
      <text>
        <r>
          <rPr>
            <b/>
            <sz val="10"/>
            <color indexed="81"/>
            <rFont val="Calibri"/>
            <family val="2"/>
          </rPr>
          <t>Microsoft Office-bruker:</t>
        </r>
        <r>
          <rPr>
            <sz val="10"/>
            <color indexed="81"/>
            <rFont val="Calibri"/>
            <family val="2"/>
          </rPr>
          <t xml:space="preserve">
Inbet 01.02.2017</t>
        </r>
      </text>
    </comment>
    <comment ref="B61" authorId="0" shapeId="0">
      <text>
        <r>
          <rPr>
            <b/>
            <sz val="10"/>
            <color indexed="81"/>
            <rFont val="Calibri"/>
            <family val="2"/>
          </rPr>
          <t>Microsoft Office-bruker:</t>
        </r>
        <r>
          <rPr>
            <sz val="10"/>
            <color indexed="81"/>
            <rFont val="Calibri"/>
            <family val="2"/>
          </rPr>
          <t xml:space="preserve">
nbet. 15.03.2017</t>
        </r>
      </text>
    </comment>
    <comment ref="B62" authorId="0" shapeId="0">
      <text>
        <r>
          <rPr>
            <b/>
            <sz val="10"/>
            <color indexed="81"/>
            <rFont val="Calibri"/>
            <family val="2"/>
          </rPr>
          <t>Microsoft Office-bruker:</t>
        </r>
        <r>
          <rPr>
            <sz val="10"/>
            <color indexed="81"/>
            <rFont val="Calibri"/>
            <family val="2"/>
          </rPr>
          <t xml:space="preserve">
Inbet. 01.03.2017</t>
        </r>
      </text>
    </comment>
    <comment ref="B63" authorId="0" shapeId="0">
      <text>
        <r>
          <rPr>
            <b/>
            <sz val="10"/>
            <color indexed="81"/>
            <rFont val="Calibri"/>
            <family val="2"/>
          </rPr>
          <t>Microsoft Office-bruker:</t>
        </r>
        <r>
          <rPr>
            <sz val="10"/>
            <color indexed="81"/>
            <rFont val="Calibri"/>
            <family val="2"/>
          </rPr>
          <t xml:space="preserve">
Bet 1.3.2017</t>
        </r>
      </text>
    </comment>
    <comment ref="B64" authorId="0" shapeId="0">
      <text>
        <r>
          <rPr>
            <b/>
            <sz val="10"/>
            <color rgb="FF000000"/>
            <rFont val="Calibri"/>
            <family val="2"/>
          </rPr>
          <t>Microsoft Office-bruker: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Bet 1.3.2017</t>
        </r>
      </text>
    </comment>
    <comment ref="B65" authorId="0" shapeId="0">
      <text>
        <r>
          <rPr>
            <b/>
            <sz val="10"/>
            <color indexed="81"/>
            <rFont val="Calibri"/>
            <family val="2"/>
          </rPr>
          <t>Microsoft Office-bruker:</t>
        </r>
        <r>
          <rPr>
            <sz val="10"/>
            <color indexed="81"/>
            <rFont val="Calibri"/>
            <family val="2"/>
          </rPr>
          <t xml:space="preserve">
Bet 1.3.2017</t>
        </r>
      </text>
    </comment>
    <comment ref="B66" authorId="0" shapeId="0">
      <text>
        <r>
          <rPr>
            <b/>
            <sz val="10"/>
            <color indexed="81"/>
            <rFont val="Calibri"/>
            <family val="2"/>
          </rPr>
          <t>Microsoft Office-bruker:</t>
        </r>
        <r>
          <rPr>
            <sz val="10"/>
            <color indexed="81"/>
            <rFont val="Calibri"/>
            <family val="2"/>
          </rPr>
          <t xml:space="preserve">
Innbet: 15.03.2017
Orginalkvittering foreligger ikke</t>
        </r>
      </text>
    </comment>
    <comment ref="B77" authorId="1" shapeId="0">
      <text>
        <r>
          <rPr>
            <b/>
            <sz val="12"/>
            <color indexed="81"/>
            <rFont val="Tahoma"/>
            <family val="2"/>
          </rPr>
          <t>Info:</t>
        </r>
        <r>
          <rPr>
            <sz val="12"/>
            <color indexed="81"/>
            <rFont val="Tahoma"/>
            <family val="2"/>
          </rPr>
          <t xml:space="preserve">
Tallene hentes fra posteringene over - IKKE RØR!</t>
        </r>
      </text>
    </comment>
    <comment ref="B112" authorId="1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Tallene hentes fra posteringene over - KUN BUDSJETT SKAL LEGGES INN!</t>
        </r>
      </text>
    </comment>
    <comment ref="K127" authorId="0" shapeId="0">
      <text>
        <r>
          <rPr>
            <b/>
            <sz val="12"/>
            <color indexed="81"/>
            <rFont val="Calibri"/>
            <family val="2"/>
          </rPr>
          <t>Info:</t>
        </r>
        <r>
          <rPr>
            <sz val="12"/>
            <color indexed="81"/>
            <rFont val="Calibri"/>
            <family val="2"/>
          </rPr>
          <t xml:space="preserve">
Beløp justert for 2017</t>
        </r>
      </text>
    </comment>
    <comment ref="B157" authorId="0" shapeId="0">
      <text>
        <r>
          <rPr>
            <b/>
            <sz val="12"/>
            <color indexed="81"/>
            <rFont val="Calibri"/>
            <family val="2"/>
          </rPr>
          <t>Betalt via faktura</t>
        </r>
        <r>
          <rPr>
            <sz val="12"/>
            <color indexed="81"/>
            <rFont val="Calibri"/>
            <family val="2"/>
          </rPr>
          <t xml:space="preserve">
</t>
        </r>
      </text>
    </comment>
    <comment ref="B158" authorId="0" shapeId="0">
      <text>
        <r>
          <rPr>
            <b/>
            <sz val="12"/>
            <color indexed="81"/>
            <rFont val="Calibri (Brødtekst)"/>
          </rPr>
          <t>Betalt via Vipps, dermed trekkes et lite gebyr</t>
        </r>
      </text>
    </comment>
    <comment ref="F170" authorId="1" shapeId="0">
      <text>
        <r>
          <rPr>
            <b/>
            <sz val="11"/>
            <color indexed="81"/>
            <rFont val="Tahoma"/>
            <family val="2"/>
          </rPr>
          <t>Info:</t>
        </r>
        <r>
          <rPr>
            <sz val="11"/>
            <color indexed="81"/>
            <rFont val="Tahoma"/>
            <family val="2"/>
          </rPr>
          <t xml:space="preserve">
celler i grått inneholder formler som beregner disponeringen - IKKE RØR!</t>
        </r>
      </text>
    </comment>
    <comment ref="J173" authorId="1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kontoutskrift 31.12. for plasseringskonto.</t>
        </r>
      </text>
    </comment>
    <comment ref="J175" authorId="1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kontoutskrift 31.12. for plasseringskonto.</t>
        </r>
      </text>
    </comment>
    <comment ref="F177" authorId="1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§9 i vedtekene.</t>
        </r>
      </text>
    </comment>
    <comment ref="B178" authorId="0" shapeId="0">
      <text>
        <r>
          <rPr>
            <b/>
            <sz val="12"/>
            <color indexed="81"/>
            <rFont val="Calibri"/>
            <family val="2"/>
          </rPr>
          <t>Det har ikke vært søkt om midler siste årene, dermed overføres disse midlene til Vel-arrangement</t>
        </r>
      </text>
    </comment>
    <comment ref="B189" authorId="0" shapeId="0">
      <text>
        <r>
          <rPr>
            <b/>
            <sz val="12"/>
            <color indexed="81"/>
            <rFont val="Calibri"/>
            <family val="2"/>
          </rPr>
          <t>Vår tur i 2017</t>
        </r>
      </text>
    </comment>
    <comment ref="F210" authorId="1" shapeId="0">
      <text>
        <r>
          <rPr>
            <b/>
            <sz val="11"/>
            <color indexed="81"/>
            <rFont val="Tahoma"/>
            <family val="2"/>
          </rPr>
          <t>Info:</t>
        </r>
        <r>
          <rPr>
            <sz val="11"/>
            <color indexed="81"/>
            <rFont val="Tahoma"/>
            <family val="2"/>
          </rPr>
          <t xml:space="preserve">
celler i grått inneholder formler som beregner disponeringen - IKKE RØR</t>
        </r>
      </text>
    </comment>
    <comment ref="B218" authorId="0" shapeId="0">
      <text>
        <r>
          <rPr>
            <sz val="12"/>
            <color indexed="81"/>
            <rFont val="Calibri"/>
            <family val="2"/>
          </rPr>
          <t xml:space="preserve">Vi ønsker å utvikle en trenings- og aktivitetspark på ballplassen som i dag brukes svært lite. Vi vil søke eksterne midler flere steder, men trenger også å bidrea med egne midler
</t>
        </r>
      </text>
    </comment>
  </commentList>
</comments>
</file>

<file path=xl/comments4.xml><?xml version="1.0" encoding="utf-8"?>
<comments xmlns="http://schemas.openxmlformats.org/spreadsheetml/2006/main">
  <authors>
    <author>Fredrik Håve</author>
  </authors>
  <commentList>
    <comment ref="B67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Tallene hentes fra posteringene over - IKKE RØR!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Tallene hentes fra posteringene over - KUN BUDSJETT SKAL LEGGES INN!</t>
        </r>
      </text>
    </comment>
    <comment ref="B220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celler i grått inneholder formler som beregner disponeringen - IKKE RØR!</t>
        </r>
      </text>
    </comment>
    <comment ref="D223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kontoutskrift 31.12. for plasseringskonto.</t>
        </r>
      </text>
    </comment>
    <comment ref="D225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kontoutskrift 31.12. for plasseringskonto.</t>
        </r>
      </text>
    </comment>
    <comment ref="B227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§9 i vedtekene.</t>
        </r>
      </text>
    </comment>
    <comment ref="B262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celler i grått inneholder formler som beregner disponeringen - IKKE RØR</t>
        </r>
      </text>
    </comment>
  </commentList>
</comments>
</file>

<file path=xl/comments5.xml><?xml version="1.0" encoding="utf-8"?>
<comments xmlns="http://schemas.openxmlformats.org/spreadsheetml/2006/main">
  <authors>
    <author>Fredrik Håve</author>
  </authors>
  <commentList>
    <comment ref="B66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Tallene hentes fra posteringene over - IKKE RØR!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Tallene hentes fra posteringene over - KUN BUDSJETT SKAL LEGGES INN!</t>
        </r>
      </text>
    </comment>
    <comment ref="B216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celler i grått inneholder formler som beregner disponeringen - IKKE RØR!</t>
        </r>
      </text>
    </comment>
    <comment ref="D219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kontoutskrift 31.12. for plasseringskonto.</t>
        </r>
      </text>
    </comment>
    <comment ref="D221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kontoutskrift 31.12. for plasseringskonto.</t>
        </r>
      </text>
    </comment>
    <comment ref="B223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se §9 i vedtekene.</t>
        </r>
      </text>
    </comment>
    <comment ref="B256" authorId="0" shape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celler i grått inneholder formler som beregner disponeringen - IKKE RØR</t>
        </r>
      </text>
    </comment>
  </commentList>
</comments>
</file>

<file path=xl/comments6.xml><?xml version="1.0" encoding="utf-8"?>
<comments xmlns="http://schemas.openxmlformats.org/spreadsheetml/2006/main">
  <authors>
    <author>Steinar Granum</author>
  </authors>
  <commentList>
    <comment ref="D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J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L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N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P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R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T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V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X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Z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B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D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F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J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L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N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P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R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T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V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X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Z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B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D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F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H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J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L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N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P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</commentList>
</comments>
</file>

<file path=xl/comments7.xml><?xml version="1.0" encoding="utf-8"?>
<comments xmlns="http://schemas.openxmlformats.org/spreadsheetml/2006/main">
  <authors>
    <author>Steinar Granum</author>
  </authors>
  <commentList>
    <comment ref="D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J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L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N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P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R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T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V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X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Z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B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D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F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J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L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N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P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R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T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V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X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Z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B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D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F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H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J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L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N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P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</commentList>
</comments>
</file>

<file path=xl/comments8.xml><?xml version="1.0" encoding="utf-8"?>
<comments xmlns="http://schemas.openxmlformats.org/spreadsheetml/2006/main">
  <authors>
    <author>Steinar Granum</author>
  </authors>
  <commentList>
    <comment ref="D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J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L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N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P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R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T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V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X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Z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B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D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F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J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L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N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P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R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T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V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X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Z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B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D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F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H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J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L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N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P7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</commentList>
</comments>
</file>

<file path=xl/comments9.xml><?xml version="1.0" encoding="utf-8"?>
<comments xmlns="http://schemas.openxmlformats.org/spreadsheetml/2006/main">
  <authors>
    <author>Steinar Granum</author>
  </authors>
  <commentList>
    <comment ref="D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J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L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N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P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R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T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V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X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Z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B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D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F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J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L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N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P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R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T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V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X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AZ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B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D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F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H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J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L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N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  <comment ref="BP48" authorId="0" shapeId="0">
      <text>
        <r>
          <rPr>
            <b/>
            <sz val="8"/>
            <color indexed="81"/>
            <rFont val="Tahoma"/>
            <family val="2"/>
          </rPr>
          <t>Steinar Granum:</t>
        </r>
        <r>
          <rPr>
            <sz val="8"/>
            <color indexed="81"/>
            <rFont val="Tahoma"/>
            <family val="2"/>
          </rPr>
          <t xml:space="preserve">
Stemmer med årsoppgave 2006</t>
        </r>
      </text>
    </comment>
  </commentList>
</comments>
</file>

<file path=xl/sharedStrings.xml><?xml version="1.0" encoding="utf-8"?>
<sst xmlns="http://schemas.openxmlformats.org/spreadsheetml/2006/main" count="4891" uniqueCount="1149">
  <si>
    <t>Bilagstekst</t>
  </si>
  <si>
    <t>Bilags</t>
  </si>
  <si>
    <t xml:space="preserve">      KASSE</t>
  </si>
  <si>
    <t xml:space="preserve">    POSTBANKEN</t>
  </si>
  <si>
    <t>KAP.KONTO POSTEN</t>
  </si>
  <si>
    <t xml:space="preserve">    DIV. UTGIFTER</t>
  </si>
  <si>
    <t xml:space="preserve">     MEDL.KONTIGENT</t>
  </si>
  <si>
    <t>Storebrand Bank høyrente</t>
  </si>
  <si>
    <t xml:space="preserve">       RENTEINNTEKTER</t>
  </si>
  <si>
    <t>LEKEAPP. 10 ÅRS</t>
  </si>
  <si>
    <t xml:space="preserve">      HOLUMSKOG </t>
  </si>
  <si>
    <t xml:space="preserve">    INNSKUDD</t>
  </si>
  <si>
    <t xml:space="preserve">   SOLSTUA </t>
  </si>
  <si>
    <t xml:space="preserve">             BUNDEN </t>
  </si>
  <si>
    <t xml:space="preserve">        FONDSMIDLER</t>
  </si>
  <si>
    <t xml:space="preserve">   FRI EGENKAPITAL</t>
  </si>
  <si>
    <t>nummer</t>
  </si>
  <si>
    <t xml:space="preserve"> Kto.nr.05301984806</t>
  </si>
  <si>
    <t xml:space="preserve">  Kto.nr. 0521 66 85115</t>
  </si>
  <si>
    <t>INNTEKTER</t>
  </si>
  <si>
    <t>Dato</t>
  </si>
  <si>
    <t xml:space="preserve">   Kto.nr.:  9100.19.91235</t>
  </si>
  <si>
    <t xml:space="preserve">    AVSKRIVNING</t>
  </si>
  <si>
    <t xml:space="preserve">      GRENDEHUS</t>
  </si>
  <si>
    <t xml:space="preserve">    GRENDEHUS</t>
  </si>
  <si>
    <t xml:space="preserve">    BARNEHAGE</t>
  </si>
  <si>
    <t xml:space="preserve">               EGENKAP.</t>
  </si>
  <si>
    <t xml:space="preserve">               (fondskapital)</t>
  </si>
  <si>
    <t>Debet</t>
  </si>
  <si>
    <t>Kredit</t>
  </si>
  <si>
    <t>Kortsiktig Gjeld</t>
  </si>
  <si>
    <t>BALANSE 31.12.2004</t>
  </si>
  <si>
    <t>Utestående fordringer</t>
  </si>
  <si>
    <t>Overføring fra kapitalkonto</t>
  </si>
  <si>
    <t>Innbet medl.</t>
  </si>
  <si>
    <t>utbet til festkomiteen</t>
  </si>
  <si>
    <t>YIT system ola bil</t>
  </si>
  <si>
    <t>Holumskog vel</t>
  </si>
  <si>
    <t>Mega 200</t>
  </si>
  <si>
    <t>Søndre Nitteda</t>
  </si>
  <si>
    <t>Overføring til Grendehuset</t>
  </si>
  <si>
    <t>SUM DEBET</t>
  </si>
  <si>
    <t>SUM KREDIT</t>
  </si>
  <si>
    <t>Div. kontorart.</t>
  </si>
  <si>
    <t>Div. til årsmøte</t>
  </si>
  <si>
    <t>innkjøp i forbindelse med julegrant</t>
  </si>
  <si>
    <t>Renter</t>
  </si>
  <si>
    <t>Samlet renter</t>
  </si>
  <si>
    <t>Samlet gebyr</t>
  </si>
  <si>
    <t>Tilbakebet fra Holumskog Vel</t>
  </si>
  <si>
    <t>Avskrivninger Lekeapparat</t>
  </si>
  <si>
    <t>BALANSE 31. DESEMBER</t>
  </si>
  <si>
    <t>EIENDELER</t>
  </si>
  <si>
    <t>OMLØPSMIDLER</t>
  </si>
  <si>
    <t>Kasse</t>
  </si>
  <si>
    <t>Postgiro</t>
  </si>
  <si>
    <t>Kapitalkonto Posten</t>
  </si>
  <si>
    <t>Storebrand Høyrente</t>
  </si>
  <si>
    <t>Fordring Festkomite</t>
  </si>
  <si>
    <t>Fordring Holumskogen Vel</t>
  </si>
  <si>
    <t>Sum omløpsmidler</t>
  </si>
  <si>
    <t>ANLEGGSMIDLER</t>
  </si>
  <si>
    <t>Lekeapparat aktivert for 10 års avskr</t>
  </si>
  <si>
    <t>Holumskog Grendehus</t>
  </si>
  <si>
    <t>Innskudd Grendehus</t>
  </si>
  <si>
    <t>Solstua Barnehage</t>
  </si>
  <si>
    <t>Sum Anleggsmidler</t>
  </si>
  <si>
    <t>SUM EIENDELER</t>
  </si>
  <si>
    <t>GJELD OG EGENKAPITAL</t>
  </si>
  <si>
    <t>Kortsiktig gjeld</t>
  </si>
  <si>
    <t>Sum Kortsiktig Gjeld</t>
  </si>
  <si>
    <t>EGENKAPITAL</t>
  </si>
  <si>
    <t>Bunden Egenkapital</t>
  </si>
  <si>
    <t>Fondskapital</t>
  </si>
  <si>
    <t>Fri Egenkapital</t>
  </si>
  <si>
    <t>Sum Egenkapital</t>
  </si>
  <si>
    <t>DISPONERING AV OVERSKUDD</t>
  </si>
  <si>
    <t xml:space="preserve">SUM GJELD OG EGENKAPITAL  </t>
  </si>
  <si>
    <t>Dobbelt betalt Mega 2000</t>
  </si>
  <si>
    <t>Underskudd overført fri EK</t>
  </si>
  <si>
    <t>Note</t>
  </si>
  <si>
    <t>Årsregnskap Skillebekk Vel 2004</t>
  </si>
  <si>
    <t>(tidl.kto.nr 0806 20 14777)</t>
  </si>
  <si>
    <t>utearbeider Grendehuset</t>
  </si>
  <si>
    <t>BALANSE 31.12.2003</t>
  </si>
  <si>
    <t>Søndre Nittedal skolekorps julegrant.</t>
  </si>
  <si>
    <t>overføring til grendehuset</t>
  </si>
  <si>
    <t>Gebyr bank Januar</t>
  </si>
  <si>
    <t>Mega 2000</t>
  </si>
  <si>
    <t>Medlemskontingent Norges Velforbund</t>
  </si>
  <si>
    <t>Nittedal kommune</t>
  </si>
  <si>
    <t>Gebyr bank februar</t>
  </si>
  <si>
    <t xml:space="preserve">Medlemskontingent </t>
  </si>
  <si>
    <t>medlemskontingent</t>
  </si>
  <si>
    <t>Medlemskontingent</t>
  </si>
  <si>
    <t>Kommunale avgifter</t>
  </si>
  <si>
    <t>Gebyr bank mai</t>
  </si>
  <si>
    <t>medlem</t>
  </si>
  <si>
    <t>Skedsmo Avfallsentral Dugnad HS/Barneh</t>
  </si>
  <si>
    <t>Søndre nittedal veterankorps 17.mai</t>
  </si>
  <si>
    <t>Tilbake bet. V.Markhus utlegg til dugnad</t>
  </si>
  <si>
    <t>med</t>
  </si>
  <si>
    <t>nmed</t>
  </si>
  <si>
    <t>Tilbakebet til Helge Wehmer</t>
  </si>
  <si>
    <t>Tilbakebet til Kjersti Dragland</t>
  </si>
  <si>
    <t>Grefsrud Støt sand</t>
  </si>
  <si>
    <t>Deles med Holumskogen Vel</t>
  </si>
  <si>
    <t>Skedsmo Avfallsentral</t>
  </si>
  <si>
    <t>Medl</t>
  </si>
  <si>
    <t>Tilbakebet for div utlegg høstfest fra HV</t>
  </si>
  <si>
    <t>Gebyr Juni</t>
  </si>
  <si>
    <t>Med</t>
  </si>
  <si>
    <t>Bryllupsgave til Monica Lange</t>
  </si>
  <si>
    <t>Skal denne belastes Velet?</t>
  </si>
  <si>
    <t>Gjeld til Holumskogen Vel?</t>
  </si>
  <si>
    <t>Driftstilskudd Grendehuset</t>
  </si>
  <si>
    <t>Grendehuset</t>
  </si>
  <si>
    <t>Gebyr September</t>
  </si>
  <si>
    <t>Overført fra Storebrand Bank</t>
  </si>
  <si>
    <t>Uttak</t>
  </si>
  <si>
    <t>AB Asfalt AS</t>
  </si>
  <si>
    <t>Gebyr</t>
  </si>
  <si>
    <t>Maxbo</t>
  </si>
  <si>
    <t>Maxbo retur</t>
  </si>
  <si>
    <t>Ballbingen ekstra</t>
  </si>
  <si>
    <t>Ballbingen</t>
  </si>
  <si>
    <t>Diverse innkjøp til julegrantenning</t>
  </si>
  <si>
    <t>Holumskogen Vel</t>
  </si>
  <si>
    <t>Vin til Årets ildsjel</t>
  </si>
  <si>
    <t>Romeriksgartneren</t>
  </si>
  <si>
    <t>Skedsmo avfallscentral</t>
  </si>
  <si>
    <t>Renter Postbanken</t>
  </si>
  <si>
    <t>Avskrivninger lekeapparat</t>
  </si>
  <si>
    <t>Utgiftsføre festkomiteen</t>
  </si>
  <si>
    <t>20% av renteinntekter til fondsmidler</t>
  </si>
  <si>
    <t>Festkomite kostnader 2004</t>
  </si>
  <si>
    <t>Festkomitten</t>
  </si>
  <si>
    <t>Renter Storebrand Bank</t>
  </si>
  <si>
    <t>Gebyrer November</t>
  </si>
  <si>
    <t>Innt.ført dobbeltbet. 2003</t>
  </si>
  <si>
    <t>SUM KREDITT</t>
  </si>
  <si>
    <t>Resultat</t>
  </si>
  <si>
    <t>Kjøp juletre inne 2003</t>
  </si>
  <si>
    <t>Dugnad</t>
  </si>
  <si>
    <t>Fordring Grendehuset</t>
  </si>
  <si>
    <t>Fordring Ballbingen</t>
  </si>
  <si>
    <t>Julegrantenning</t>
  </si>
  <si>
    <t>Bryllupspresang</t>
  </si>
  <si>
    <t>Totalt</t>
  </si>
  <si>
    <t>Avvik  2004</t>
  </si>
  <si>
    <t>Budsjett 2004</t>
  </si>
  <si>
    <t>mot budsjett</t>
  </si>
  <si>
    <t>Budsjett 2005</t>
  </si>
  <si>
    <t>Inntekter</t>
  </si>
  <si>
    <t>Medlemskontigenter</t>
  </si>
  <si>
    <t>Renteinntekt Storebrand Bank</t>
  </si>
  <si>
    <t>Andre renteinntekter</t>
  </si>
  <si>
    <t>Inntekter fra internettsiden</t>
  </si>
  <si>
    <t>Sum inntekter</t>
  </si>
  <si>
    <t>Utgifter</t>
  </si>
  <si>
    <t>Driftstilskudd til Grendehuset</t>
  </si>
  <si>
    <t>Lekeapparater 10% avskr.</t>
  </si>
  <si>
    <t>Velfester</t>
  </si>
  <si>
    <t>Dugnader</t>
  </si>
  <si>
    <t>Medlemskont. Norges Velforb.</t>
  </si>
  <si>
    <t>Kommunale utgifter</t>
  </si>
  <si>
    <t>Til styrets disposisjon</t>
  </si>
  <si>
    <t>Uteareal Grendehuset</t>
  </si>
  <si>
    <t>Kjøp av juletre til Grendehuset</t>
  </si>
  <si>
    <t>Vekking i gatene 17. mai</t>
  </si>
  <si>
    <t>Utgifter til nettsiden</t>
  </si>
  <si>
    <t>Sum utgifter</t>
  </si>
  <si>
    <t>Disponering av resultat</t>
  </si>
  <si>
    <t>20% renteinntekter overført fondsmidler</t>
  </si>
  <si>
    <t>Overført fri egenkapital</t>
  </si>
  <si>
    <t>Sum disponert</t>
  </si>
  <si>
    <t>Regnskap festkomiteèn Skillebekk Vel 2004</t>
  </si>
  <si>
    <t>Kassebeholdning</t>
  </si>
  <si>
    <t>Vin til Årets ildsjeler</t>
  </si>
  <si>
    <t>Kassebeholdning 01.01.04</t>
  </si>
  <si>
    <t>Juletrefest januar 2004</t>
  </si>
  <si>
    <t>Nattevandrer kopiering</t>
  </si>
  <si>
    <t>Dugnadsfest 08.05.04</t>
  </si>
  <si>
    <t>Olabilløp 21.08.04</t>
  </si>
  <si>
    <t>Høstfest 30.10.04</t>
  </si>
  <si>
    <t>Kassebeholdning  pr. 31.12.04</t>
  </si>
  <si>
    <t>Resultat festkomiteen</t>
  </si>
  <si>
    <t>Kassebeholdning 31.12.04</t>
  </si>
  <si>
    <t>Tilskudd i 2004</t>
  </si>
  <si>
    <t>Fra Houmskogen Vel for høstfest 2003</t>
  </si>
  <si>
    <t>Kostnad(Inntekt) i 2004</t>
  </si>
  <si>
    <t>Kostnader i forbindelse med barnehagen</t>
  </si>
  <si>
    <t>Maxbo Gjerde</t>
  </si>
  <si>
    <t>Total kostad</t>
  </si>
  <si>
    <t>fordring på Grendehuset i forbindelse med kjøp til julegrantenning</t>
  </si>
  <si>
    <t>jan. feb. 2005</t>
  </si>
  <si>
    <t>Kredt</t>
  </si>
  <si>
    <t>Sum</t>
  </si>
  <si>
    <t>Betalt 2006</t>
  </si>
  <si>
    <t>Total fordring 3.12.05</t>
  </si>
  <si>
    <t>Totalt fordring 31.12.04</t>
  </si>
  <si>
    <t>For meget bet. Tilskudd 2004</t>
  </si>
  <si>
    <t>Total fordring 31.12.05</t>
  </si>
  <si>
    <t>Juletrefest januar 2005</t>
  </si>
  <si>
    <t>Innskudd fra Velet</t>
  </si>
  <si>
    <t>Høstfest 2005</t>
  </si>
  <si>
    <t>Olabilløp 21.08.05</t>
  </si>
  <si>
    <t>Dugnadsfest 2005</t>
  </si>
  <si>
    <t>Regnskap festkomiteèn Skillebekk Vel 2005</t>
  </si>
  <si>
    <t>Fordring festkomiteen (tilskudd</t>
  </si>
  <si>
    <t>Kostnader festkomitten</t>
  </si>
  <si>
    <t>Gjeld til Festkomitten (Utgifter)</t>
  </si>
  <si>
    <t>Gjeld til Holumskogen Går mot fordring bilag 36</t>
  </si>
  <si>
    <t>YIT system ola bil Høytaleranlegg</t>
  </si>
  <si>
    <t>Holumskog vel Dumper til akebakke</t>
  </si>
  <si>
    <t>Fordring på Holuskogen Vel lagt ut for faktura som skal deles YIT 520, fordring festkomiteen 520</t>
  </si>
  <si>
    <t>Olabilløp 2004 ref. fra Holumskogen Vel</t>
  </si>
  <si>
    <t>Kassebeholdning 31.12.05</t>
  </si>
  <si>
    <t>Kassebeholdning 01.01.05</t>
  </si>
  <si>
    <t>Tilskudd i 2005</t>
  </si>
  <si>
    <t>Kostnad i 2005</t>
  </si>
  <si>
    <t>Fordring på Holumskogen Vel Olabil løp -05</t>
  </si>
  <si>
    <t>Festkomiteen fordring på Holumskogen Vel for Olabil løp -05</t>
  </si>
  <si>
    <t>Leie musikkanlegg Olabilløp (det m/Holumskog)</t>
  </si>
  <si>
    <t>Kassebeholdning inkl. fordring HS pr. 31.12.05</t>
  </si>
  <si>
    <t>Div. kontorrekvisita</t>
  </si>
  <si>
    <t>Kaker til årsmøte</t>
  </si>
  <si>
    <t>Avsatt kommunaleavgifter 2005</t>
  </si>
  <si>
    <t>Ref. fra Holumskogen Vel Ola bil løp</t>
  </si>
  <si>
    <t>Kommunaleavgifter</t>
  </si>
  <si>
    <t>Mega 2000 fordr.trukket fra ifl. Vibeke</t>
  </si>
  <si>
    <t>Ført mot fordring Mega 2000, nettsiden</t>
  </si>
  <si>
    <t>Budsjett 2006</t>
  </si>
  <si>
    <t>Avvik  2005</t>
  </si>
  <si>
    <t>Renteinntekter Storebrand</t>
  </si>
  <si>
    <t>20% av renteinntkter til fondsmidler</t>
  </si>
  <si>
    <t>Overskudd overført fri EK</t>
  </si>
  <si>
    <t>Grendehusarbeider</t>
  </si>
  <si>
    <t xml:space="preserve">Debet </t>
  </si>
  <si>
    <t>Div. utlett H. Wehmer</t>
  </si>
  <si>
    <t>Balanse 31.12.04 etter korr. Utført 2006</t>
  </si>
  <si>
    <t>2005</t>
  </si>
  <si>
    <t>2004</t>
  </si>
  <si>
    <t>Medlemskontingenter</t>
  </si>
  <si>
    <t>Kostnader i forb. Med julegrantenning</t>
  </si>
  <si>
    <t>Budsjett</t>
  </si>
  <si>
    <t>2003</t>
  </si>
  <si>
    <t>Skillebekk Vel regnskap 2006</t>
  </si>
  <si>
    <t xml:space="preserve">     RENTEINNTEKTER</t>
  </si>
  <si>
    <t xml:space="preserve"> Kto.nr..05301984806</t>
  </si>
  <si>
    <t xml:space="preserve">BALANSE 31.12.2005 </t>
  </si>
  <si>
    <t>Tilbakeført avsatt renovasjon 2005</t>
  </si>
  <si>
    <t>Renovasjon 2. halvår 2005</t>
  </si>
  <si>
    <t>Renovasjon 1. halvår 2006</t>
  </si>
  <si>
    <t>Mega2000 Websiden inkl. inkassokostn.</t>
  </si>
  <si>
    <t>Gjelleråsen Vel. Temakveld 2005</t>
  </si>
  <si>
    <t>Søndre Nittedal Veterankorps 17.mai</t>
  </si>
  <si>
    <t>Innbetalt medlemskontingent 2 stk</t>
  </si>
  <si>
    <t>Innbetalt medlemskontingent 35 stk</t>
  </si>
  <si>
    <t>Betalt til Visma/Mega2000</t>
  </si>
  <si>
    <t>Norges Velforbund - skyldig kontingent</t>
  </si>
  <si>
    <t>Norges Velforbund - kontingent for 2006</t>
  </si>
  <si>
    <t>Innbetalt medlemskontingent 5 stk</t>
  </si>
  <si>
    <t>Overføring til festkomm.Rest av årets midl.</t>
  </si>
  <si>
    <t>Årets "Ildsjel-pris" 2006</t>
  </si>
  <si>
    <t>27.04.2006</t>
  </si>
  <si>
    <t>Trykking årsmøtepapirer</t>
  </si>
  <si>
    <t>31.12.2006</t>
  </si>
  <si>
    <t>Bankgebyr</t>
  </si>
  <si>
    <t>Korreksjon av differanse fra 2005</t>
  </si>
  <si>
    <t>22.02.2006</t>
  </si>
  <si>
    <t>Overføring til festkomm. Første delbetaling</t>
  </si>
  <si>
    <t>28.03.2006</t>
  </si>
  <si>
    <t>Overført til Storebrand bank</t>
  </si>
  <si>
    <t>31.04.2006</t>
  </si>
  <si>
    <t>Innbetalt medlemskontingent 19 stk</t>
  </si>
  <si>
    <t>Innbetalt medlemskontingent 10 stk</t>
  </si>
  <si>
    <t>Renter Storebrand</t>
  </si>
  <si>
    <t>Avskrivining lekeapparater</t>
  </si>
  <si>
    <t>Omfordeling av IB</t>
  </si>
  <si>
    <t>Ny IB</t>
  </si>
  <si>
    <t>FORDRING FESTKOMITE</t>
  </si>
  <si>
    <t>MELLOMVÆRENDE</t>
  </si>
  <si>
    <t>GRENDEHUSET</t>
  </si>
  <si>
    <t>HOLUM SKOG VEL</t>
  </si>
  <si>
    <t>FORDRING BALLBINGEN</t>
  </si>
  <si>
    <t>Tilskudd til fellesutgifter</t>
  </si>
  <si>
    <t>Medlemskont. Norges Velforb. 1)</t>
  </si>
  <si>
    <t>Kommunale avgifter 2)</t>
  </si>
  <si>
    <t>Budsjett 2007</t>
  </si>
  <si>
    <t>Tilskudd felles arrangementer</t>
  </si>
  <si>
    <t>Kostnad i 2006</t>
  </si>
  <si>
    <t>Regnskap festkomiteèn Skillebekk Vel 2006</t>
  </si>
  <si>
    <t>Juletrefest, Januar</t>
  </si>
  <si>
    <t>Juletrefest, Januar, inntekter</t>
  </si>
  <si>
    <t>Juletrefest, Januar, utgifter</t>
  </si>
  <si>
    <t>Høstfest, oktober</t>
  </si>
  <si>
    <t>Høstfest, oktober, inntekter</t>
  </si>
  <si>
    <t>Høstfest, oktober, utgifter</t>
  </si>
  <si>
    <t>Juletrefest januar 2006</t>
  </si>
  <si>
    <t>Høstfest oktober 2006</t>
  </si>
  <si>
    <t>Festkommiteen</t>
  </si>
  <si>
    <t>Kassebeholdning 01.01.06</t>
  </si>
  <si>
    <t>Kassebeholdning pr. 31.12.06</t>
  </si>
  <si>
    <t>Nittedal Kommune.Renovasjon 2. halvår 2006</t>
  </si>
  <si>
    <t>1) Kontingent for 2005 betalt i 2006</t>
  </si>
  <si>
    <t>2)Avstt for mye til  kommunale avgifter 2005</t>
  </si>
  <si>
    <t>3) Utgifter til nettsiden 2005 betalt i 2006</t>
  </si>
  <si>
    <t>4) Utgifter til foredragholdere temakveld 2005</t>
  </si>
  <si>
    <t>Utgifter til nettsiden 3)</t>
  </si>
  <si>
    <t>2005 kostnader bokført i 2006 regnskap</t>
  </si>
  <si>
    <t xml:space="preserve">Skårer Blomster. </t>
  </si>
  <si>
    <t>Resultatregnskap, Skillebekk Vel 2006</t>
  </si>
  <si>
    <t>Tekst</t>
  </si>
  <si>
    <t>Diff. R/B</t>
  </si>
  <si>
    <t>Avvik %</t>
  </si>
  <si>
    <t>Balanse, Skillebekk Vel 2006</t>
  </si>
  <si>
    <t>Skillebekk Vel regnskap 2007</t>
  </si>
  <si>
    <t>UB 31.12.2006</t>
  </si>
  <si>
    <t>Balanse, Skillebekk Vel 2007</t>
  </si>
  <si>
    <t>Budsjett 2008</t>
  </si>
  <si>
    <t>Medlemskont. Norges Velforbund</t>
  </si>
  <si>
    <t>Kassebeholdning 01.01.07</t>
  </si>
  <si>
    <t>Kostnad i 2007</t>
  </si>
  <si>
    <t>Kassebeholdning pr. 31.12.07</t>
  </si>
  <si>
    <t>Resultatregnskap, Skillebekk Vel 2007</t>
  </si>
  <si>
    <t>Storebrand bank</t>
  </si>
  <si>
    <t>Øvrige</t>
  </si>
  <si>
    <t>Tilskudd felles</t>
  </si>
  <si>
    <t>arrangementer</t>
  </si>
  <si>
    <t>KASSE</t>
  </si>
  <si>
    <t>RENTEINNTEKTER</t>
  </si>
  <si>
    <t xml:space="preserve"> RENTEINNTEKTER</t>
  </si>
  <si>
    <t>Avskrivning</t>
  </si>
  <si>
    <t>lekeapparater</t>
  </si>
  <si>
    <t>Norges velforbund</t>
  </si>
  <si>
    <t>Til styrets</t>
  </si>
  <si>
    <t>disposisjon</t>
  </si>
  <si>
    <t>Nettsidene</t>
  </si>
  <si>
    <t>Innskudd Solstua Barnehage</t>
  </si>
  <si>
    <t>01.01.2007</t>
  </si>
  <si>
    <t>Korreksjon av bunden egenkapital</t>
  </si>
  <si>
    <t>Nittedal Komm.Eiendomsgebyrer</t>
  </si>
  <si>
    <t>Utgifter til Årsmøtet</t>
  </si>
  <si>
    <t>Norges Velforbund  Kontingent</t>
  </si>
  <si>
    <t>Medlemskontingent innbetalt</t>
  </si>
  <si>
    <t>Grefsrud AS</t>
  </si>
  <si>
    <t>Oppgjør Ballbinge</t>
  </si>
  <si>
    <t>Fra Holumskog Grendehus</t>
  </si>
  <si>
    <t>Fra Holumskog Velforening</t>
  </si>
  <si>
    <t>Mega 2000 Web Hotel</t>
  </si>
  <si>
    <t>Festkomiteen v/Mona Edland</t>
  </si>
  <si>
    <t>Betalt til Jack Terje Saltnes</t>
  </si>
  <si>
    <t>Tilbakebetalt for mye betalt kontingent</t>
  </si>
  <si>
    <t>Refundert purregebyr fra Norges Velforb.</t>
  </si>
  <si>
    <t>Diverse inntekter</t>
  </si>
  <si>
    <t>Medlemskont. Rest fra 1 medlem</t>
  </si>
  <si>
    <t>Utgifter til årsmøtepapirer 2007</t>
  </si>
  <si>
    <t>Nittedal kommune, kommunale gebyr</t>
  </si>
  <si>
    <t xml:space="preserve"> </t>
  </si>
  <si>
    <t>Holum Skog Grendehus.Andel fellesutg.</t>
  </si>
  <si>
    <t>Renter 2007 Postbanken</t>
  </si>
  <si>
    <t>Korps Julegrantenning</t>
  </si>
  <si>
    <t>Renteinntekter Storebrand 2007</t>
  </si>
  <si>
    <t>Gebyrer Postbanken 2007</t>
  </si>
  <si>
    <t>OK IB kontrollert mot UB 2006</t>
  </si>
  <si>
    <t>Div. utstyr til arrangementer</t>
  </si>
  <si>
    <t>Kostnad velfester</t>
  </si>
  <si>
    <t>Postbanken</t>
  </si>
  <si>
    <t>Overskudd overført EK</t>
  </si>
  <si>
    <t>Utlegg materialer og blanketter</t>
  </si>
  <si>
    <t>Fakturablanketter (kontingent)</t>
  </si>
  <si>
    <t>Servering julegrantenning</t>
  </si>
  <si>
    <t>Lys til juletre ved grendehuset</t>
  </si>
  <si>
    <t>Regnskap festkomiteèn Skillebekk Vel 2007</t>
  </si>
  <si>
    <t>Gebyrer, se bilag 42</t>
  </si>
  <si>
    <t>Gebyrer postbanken 2007</t>
  </si>
  <si>
    <t>Servering på årsmøtet</t>
  </si>
  <si>
    <t>Note 1</t>
  </si>
  <si>
    <t>Note 2</t>
  </si>
  <si>
    <t>Note 3</t>
  </si>
  <si>
    <t>Opprydning i Svarttjern</t>
  </si>
  <si>
    <t>Skillebekk Vel regnskap 2008</t>
  </si>
  <si>
    <t>UB 31.12.2007</t>
  </si>
  <si>
    <t>Balanse, Skillebekk Vel 2008</t>
  </si>
  <si>
    <t>Budsjett 2009</t>
  </si>
  <si>
    <t>Opprydning</t>
  </si>
  <si>
    <t>i Svarttjern</t>
  </si>
  <si>
    <t>gebyr postebanken</t>
  </si>
  <si>
    <t>printservice</t>
  </si>
  <si>
    <t>gebyr postbanken</t>
  </si>
  <si>
    <t>nittedal kommune</t>
  </si>
  <si>
    <t>one.com webhotell</t>
  </si>
  <si>
    <t>norges velforbund</t>
  </si>
  <si>
    <t>søndre nittedal veterankorps</t>
  </si>
  <si>
    <t>vedlikehold Svarttjern</t>
  </si>
  <si>
    <t>kontormatriell</t>
  </si>
  <si>
    <t>utlegg til jubileumsfest</t>
  </si>
  <si>
    <t>kreativ consulting</t>
  </si>
  <si>
    <t>mc2k partytelt</t>
  </si>
  <si>
    <t>brødrene thoje as</t>
  </si>
  <si>
    <t>55 stk meldelmskontigent 16/5-31/5</t>
  </si>
  <si>
    <t>abo nettbank</t>
  </si>
  <si>
    <t>42 stk medlemskontigent 31/5-29/6</t>
  </si>
  <si>
    <t xml:space="preserve">gebyr postbanken </t>
  </si>
  <si>
    <t>5 stk medlemskontigent 1/7-25/7</t>
  </si>
  <si>
    <t>2 stk medlemskontigent 1/8-13/8</t>
  </si>
  <si>
    <t>2stk medlemskontigent 9/9-25/9</t>
  </si>
  <si>
    <t>3 stk medlemskontigent 1/10-23/10</t>
  </si>
  <si>
    <t>Kassebeholdning 01.01.08</t>
  </si>
  <si>
    <t>Jubileumsfest, september, inntekter</t>
  </si>
  <si>
    <t>Jubileumsfest, september, utgifter</t>
  </si>
  <si>
    <t>Kostnader velfester</t>
  </si>
  <si>
    <t>Kostnad i 2008</t>
  </si>
  <si>
    <t>Kassebeholdning pr. 31.12.08</t>
  </si>
  <si>
    <t>.</t>
  </si>
  <si>
    <t>Brødrene Tohje, ballplass</t>
  </si>
  <si>
    <t>Utgifter til årsmøtepapirer 2008</t>
  </si>
  <si>
    <t>Gebyrer postbanken 2008</t>
  </si>
  <si>
    <t>Veiskilt</t>
  </si>
  <si>
    <t>Kontormateriell</t>
  </si>
  <si>
    <t>Resultatregnskap, Skillebekk Vel 2008</t>
  </si>
  <si>
    <t>Badebrygge Svarttjern</t>
  </si>
  <si>
    <t xml:space="preserve">AVSETNING FOR </t>
  </si>
  <si>
    <t>OPPRYDDNING SVARTTJ.</t>
  </si>
  <si>
    <t>Avsetning for opprydning i Svarttjern</t>
  </si>
  <si>
    <t>Avsetning til oppr. Svarttjern</t>
  </si>
  <si>
    <t>Avgift grunneier Svarttjern</t>
  </si>
  <si>
    <t>Note 4</t>
  </si>
  <si>
    <t>Utgift i 2009 kr. 10.000 som gjelder for 10 år</t>
  </si>
  <si>
    <t>Note 5</t>
  </si>
  <si>
    <t>Er betalt i 2009</t>
  </si>
  <si>
    <t>note 6</t>
  </si>
  <si>
    <t>ureglementert,</t>
  </si>
  <si>
    <t>arbeid påbegynt uten godgjenning</t>
  </si>
  <si>
    <t>styret valget å dekke</t>
  </si>
  <si>
    <t>Skillebekk Vel regnskap 2009</t>
  </si>
  <si>
    <t>Balanse, Skillebekk Vel 2009</t>
  </si>
  <si>
    <t>Resultatregnskap, Skillebekk Vel 2009</t>
  </si>
  <si>
    <t>Budsjett 2010</t>
  </si>
  <si>
    <t>Diff. R/B '09</t>
  </si>
  <si>
    <t>UB 31.12.2008</t>
  </si>
  <si>
    <t>UB 31.12.2009</t>
  </si>
  <si>
    <t>Inngående balanse fra 2008</t>
  </si>
  <si>
    <t>overført til Festkomiteen</t>
  </si>
  <si>
    <t>tilbake bet utestående grendehuset</t>
  </si>
  <si>
    <t>bank gebyrer</t>
  </si>
  <si>
    <t>nittedal kommune, renovasjon</t>
  </si>
  <si>
    <t>Norges Velforbund  Kontingent '09</t>
  </si>
  <si>
    <t>75 stk meldelmskontigent april</t>
  </si>
  <si>
    <t>giro blanketter</t>
  </si>
  <si>
    <t>printing av årsmøte dokumenter</t>
  </si>
  <si>
    <t>søndre nittedal veterankorps, 17.mai</t>
  </si>
  <si>
    <t>23 stk meldelmskontigent mai</t>
  </si>
  <si>
    <t>tilbake bet dobbelt innbet kontig.</t>
  </si>
  <si>
    <t>8 stk meldelmskontigent juni</t>
  </si>
  <si>
    <t>Johnsen &amp; Stovner, utbedring Svarttjern</t>
  </si>
  <si>
    <t>maling til dugnad</t>
  </si>
  <si>
    <t>Badebrygge</t>
  </si>
  <si>
    <t>ved Svarttjern</t>
  </si>
  <si>
    <t>Badebrygge ved Svarttjern</t>
  </si>
  <si>
    <t>1 stk meldelmskontigent juni</t>
  </si>
  <si>
    <t>2 stk meldelmskontigent sep</t>
  </si>
  <si>
    <t>Sand til Svarttjern + fjerning av kvist</t>
  </si>
  <si>
    <t>Krans til Kvalens' båre</t>
  </si>
  <si>
    <t>div innkjøp til julegrantenning</t>
  </si>
  <si>
    <t>Renter bank</t>
  </si>
  <si>
    <t>Renter bank, høyrente konto</t>
  </si>
  <si>
    <t>Svarttjern</t>
  </si>
  <si>
    <t>leie badeplass</t>
  </si>
  <si>
    <t>10 års leie badeplass</t>
  </si>
  <si>
    <t>bet 10 års leie, Svarttjern</t>
  </si>
  <si>
    <t>Leie badeplass Svarttjern</t>
  </si>
  <si>
    <t>-</t>
  </si>
  <si>
    <t>Gebyrer postbanken 2009</t>
  </si>
  <si>
    <t>Utgifter til årsmøtepapirer 2009</t>
  </si>
  <si>
    <t>Juletrefest</t>
  </si>
  <si>
    <t>Vel arr. / festkom.</t>
  </si>
  <si>
    <t>Rep/erstatning hos Nilsson</t>
  </si>
  <si>
    <t>avsetning badestige til tjernet</t>
  </si>
  <si>
    <t>Kassebeholdning 01.01.09</t>
  </si>
  <si>
    <t>Kostnad i 2009</t>
  </si>
  <si>
    <t>Kassebeholdning pr. 31.12.09</t>
  </si>
  <si>
    <t>Innskudd fra Velet i 2009</t>
  </si>
  <si>
    <t>Fordring gebyr bank</t>
  </si>
  <si>
    <t>Tilskudd arrangementer</t>
  </si>
  <si>
    <t>Note 6</t>
  </si>
  <si>
    <t>Lekeplass/apparater</t>
  </si>
  <si>
    <t>Vel arrangementer</t>
  </si>
  <si>
    <t>maling</t>
  </si>
  <si>
    <t>opprydding avfall</t>
  </si>
  <si>
    <t>Juletrefest '09, Januar, inntekter</t>
  </si>
  <si>
    <t>Juletrefest '09, Januar, utgifter</t>
  </si>
  <si>
    <t>Giro blanketter</t>
  </si>
  <si>
    <t>Materialer</t>
  </si>
  <si>
    <t>Sand</t>
  </si>
  <si>
    <t>Badestige</t>
  </si>
  <si>
    <t>Med tanke på årets resultat, har styret</t>
  </si>
  <si>
    <t>Avgift grunneier Svarttjern (for 10 år)</t>
  </si>
  <si>
    <t>valgt å ta hele denne kostnaden i år</t>
  </si>
  <si>
    <t>Avsetning kost fra '08</t>
  </si>
  <si>
    <t>Note 7</t>
  </si>
  <si>
    <t>Note 8</t>
  </si>
  <si>
    <t>(Disse midlene er tilbakeført i 2010)</t>
  </si>
  <si>
    <t>Faktura for badestigen mottatt i 2010</t>
  </si>
  <si>
    <t>Noter</t>
  </si>
  <si>
    <t>Note 9</t>
  </si>
  <si>
    <t>Trukket dobbelt gebyr, tilbakeført i 2010</t>
  </si>
  <si>
    <t>Inngående balanse fra 2009</t>
  </si>
  <si>
    <t>Skillebekk Vel regnskap 2010</t>
  </si>
  <si>
    <t>Balanse</t>
  </si>
  <si>
    <t>(fondskapital)</t>
  </si>
  <si>
    <t>FONDSMIDLER</t>
  </si>
  <si>
    <t>FRI EGENKAPITAL</t>
  </si>
  <si>
    <t xml:space="preserve">BUNDEN </t>
  </si>
  <si>
    <t>EGENKAP.</t>
  </si>
  <si>
    <t xml:space="preserve">SOLSTUA </t>
  </si>
  <si>
    <t>BARNEHAGE</t>
  </si>
  <si>
    <t>INNSKUDD</t>
  </si>
  <si>
    <t>GRENDEHUS</t>
  </si>
  <si>
    <t xml:space="preserve">HOLUMSKOG </t>
  </si>
  <si>
    <t>AVSKRIVNING</t>
  </si>
  <si>
    <t>Kto.nr.:  9100.19.91235</t>
  </si>
  <si>
    <t>Balanse, Skillebekk Vel 2010</t>
  </si>
  <si>
    <t>Resultatregnskap, Skillebekk Vel 2010</t>
  </si>
  <si>
    <t>Budsjett 2011</t>
  </si>
  <si>
    <t>UB 31.12.2010</t>
  </si>
  <si>
    <t>Faktura Nisseorkester, Juletrefest 2010</t>
  </si>
  <si>
    <t>Juletrefest 2010, inntekter</t>
  </si>
  <si>
    <t>Juletrefest 2010, cash innskudd</t>
  </si>
  <si>
    <t>Juletrefest 2010, utgifter</t>
  </si>
  <si>
    <t>Tilbakebetaling fra festkom., cash</t>
  </si>
  <si>
    <t>Tilbakebetaling fra festkom., Mona</t>
  </si>
  <si>
    <t>bankgebyr</t>
  </si>
  <si>
    <t>Faktura Hultafors, badestige i 2009</t>
  </si>
  <si>
    <t>Faktura One.com, gebyr nettside</t>
  </si>
  <si>
    <t>Dag Myliun</t>
  </si>
  <si>
    <t>overføring Storebrand til Posten</t>
  </si>
  <si>
    <t>Storebrand, renter</t>
  </si>
  <si>
    <t>Faktura Søve, oppg. Lekepl. Tjernslia</t>
  </si>
  <si>
    <t>gebyr nettbank</t>
  </si>
  <si>
    <t>Juletrefest '10, Januar, inntekter</t>
  </si>
  <si>
    <t>Juletrefest '10, Januar, utgifter</t>
  </si>
  <si>
    <t>Dugnad, bortkjøring av avfall</t>
  </si>
  <si>
    <t>Dugnad, søppelsekker</t>
  </si>
  <si>
    <t>Print av Årsmøte dokumentene, 230 stk</t>
  </si>
  <si>
    <t>Tilbakebetaling fra postbanken, gebyr</t>
  </si>
  <si>
    <t>Medlemskontingent 4 stk</t>
  </si>
  <si>
    <t>Medlemskontingent 95 stk</t>
  </si>
  <si>
    <t>Medlemskontingent 10 stk</t>
  </si>
  <si>
    <t>Medlemskontingent 3 stk</t>
  </si>
  <si>
    <t>Medlemskontingent 2 stk</t>
  </si>
  <si>
    <t>Renter 2010</t>
  </si>
  <si>
    <t>Andre renteinntekter Postbanken</t>
  </si>
  <si>
    <t>Skilt til ballbingen</t>
  </si>
  <si>
    <t>Innvilget tilskudd til Seniorgruppa</t>
  </si>
  <si>
    <t>Kopi av invitasjoner til Julegrantenning</t>
  </si>
  <si>
    <t xml:space="preserve">Bank konto i Storebrand Bank er terminert i 2010 </t>
  </si>
  <si>
    <t>på grunn av praktiske hensyn. Pengene er</t>
  </si>
  <si>
    <t>flyttet til Postbanken.</t>
  </si>
  <si>
    <t>Planlagt ny dumphuske -09 til lekeplassen,</t>
  </si>
  <si>
    <t>endelig innkjøpt.</t>
  </si>
  <si>
    <t>Tilskudd Velarrangementer</t>
  </si>
  <si>
    <t>Innvilget tilskudd til Senior gruppa</t>
  </si>
  <si>
    <t>Gebyrer postbanken 2010</t>
  </si>
  <si>
    <t>Utgifter til årsmøtepapirer 2010</t>
  </si>
  <si>
    <t>Innvitasjon til Julegrantenning</t>
  </si>
  <si>
    <t>Bygging av ny bro ved Svarttjern</t>
  </si>
  <si>
    <t>Resultat arrangement</t>
  </si>
  <si>
    <t>Tilskudd til senior gruppa</t>
  </si>
  <si>
    <t>Utlegg av leder for div utgifter, grunnet</t>
  </si>
  <si>
    <t xml:space="preserve">ikke tilgang til nettbank i en periode ved </t>
  </si>
  <si>
    <t>skifte av kasserer. Betales i 2011</t>
  </si>
  <si>
    <t>Anleggsmidler</t>
  </si>
  <si>
    <t xml:space="preserve">Skillebekk Vel eier 50% av Grendehuset. </t>
  </si>
  <si>
    <t>Det er denne verdien som står oppført i</t>
  </si>
  <si>
    <t>regnskapet. Eiendommen avskrives ikke</t>
  </si>
  <si>
    <t>i regskapet, kun i Grendehusets regnskap.</t>
  </si>
  <si>
    <t xml:space="preserve">var dårlig økonomi </t>
  </si>
  <si>
    <t xml:space="preserve">står oppført i balansen for å vise vårt </t>
  </si>
  <si>
    <t>eierskap til barnehagen.</t>
  </si>
  <si>
    <t>Egenkapital</t>
  </si>
  <si>
    <t>Bunden EK, er våre anleggsmidler</t>
  </si>
  <si>
    <t>Fodskapital, sparefond plassert i bank</t>
  </si>
  <si>
    <t>Fri EK, frie midler plassert i bank</t>
  </si>
  <si>
    <t>Innskudd i Solstua Barnehage</t>
  </si>
  <si>
    <t xml:space="preserve">Innskudd i Grendehuset, </t>
  </si>
  <si>
    <t xml:space="preserve">skyldes et innskudd i en periode det </t>
  </si>
  <si>
    <t>Skillebekk Vel regnskap 2011</t>
  </si>
  <si>
    <t>Inngående balanse fra 2010</t>
  </si>
  <si>
    <t>Faktura Nisseorkester, Juletrefest 2011</t>
  </si>
  <si>
    <t>Medlemskontingent 1 stk</t>
  </si>
  <si>
    <t>Utlegg refundert Fredrik Håve</t>
  </si>
  <si>
    <t>Nittedal kommune, renovasjon</t>
  </si>
  <si>
    <t>Inntekt juletrefest</t>
  </si>
  <si>
    <t>Innskudd fra kasse</t>
  </si>
  <si>
    <t>Medlemskontingent 9 stk</t>
  </si>
  <si>
    <t>Medlemskontingent 5 stk</t>
  </si>
  <si>
    <t>Medlemskontingent 19 stk</t>
  </si>
  <si>
    <t>Medlemskontingent 16 stk</t>
  </si>
  <si>
    <t>Medlemskontingent 14 stk</t>
  </si>
  <si>
    <t>Medlemskontingent 24 stk</t>
  </si>
  <si>
    <t>Skillebekk Senior 60+</t>
  </si>
  <si>
    <t>Søndre Nittedal Veterankorps, 17.mai</t>
  </si>
  <si>
    <t>Leie container m/avfallstømming, dugnad</t>
  </si>
  <si>
    <t>Div. Utgifter til dugnad mai-2011</t>
  </si>
  <si>
    <t>Overføring til plasseringskonto i DnB</t>
  </si>
  <si>
    <t>DnB plasserings konto</t>
  </si>
  <si>
    <t>Kto.nr.:  1203.52.54569</t>
  </si>
  <si>
    <t>Arr. Julegrantenning</t>
  </si>
  <si>
    <t>Søndre nittedal Skolekorps, julegrantenning</t>
  </si>
  <si>
    <t>Balanse, Skillebekk Vel 2011</t>
  </si>
  <si>
    <t>Plasseringskonto DnB</t>
  </si>
  <si>
    <t>Resultatregnskap, Skillebekk Vel 2011</t>
  </si>
  <si>
    <t>Budsjett 2012</t>
  </si>
  <si>
    <t>Renter Postbanken, brukskonto</t>
  </si>
  <si>
    <t>Renter Postbanken, plasseringskonto</t>
  </si>
  <si>
    <t>Postbanken/DnB</t>
  </si>
  <si>
    <t>Renteinntekt DnB</t>
  </si>
  <si>
    <t xml:space="preserve">    POSTBANKEN/DnB</t>
  </si>
  <si>
    <r>
      <t>Postbanken</t>
    </r>
    <r>
      <rPr>
        <sz val="10"/>
        <rFont val="Arial"/>
        <family val="2"/>
      </rPr>
      <t>/DnB, brukskto.</t>
    </r>
  </si>
  <si>
    <t>Postbanken er innlemmet i DnB</t>
  </si>
  <si>
    <t xml:space="preserve">Opprettet plasseringskonto i DnB for </t>
  </si>
  <si>
    <t>sparekapitalen i vellet.</t>
  </si>
  <si>
    <t>Renter brukskonto</t>
  </si>
  <si>
    <t>Renter plasseringskonto</t>
  </si>
  <si>
    <r>
      <t>Juletrefest '201</t>
    </r>
    <r>
      <rPr>
        <sz val="10"/>
        <rFont val="Arial"/>
        <family val="2"/>
      </rPr>
      <t>1</t>
    </r>
    <r>
      <rPr>
        <sz val="10"/>
        <rFont val="Arial"/>
        <family val="2"/>
      </rPr>
      <t>, Januar, inntekter</t>
    </r>
  </si>
  <si>
    <r>
      <t>Juletrefest '201</t>
    </r>
    <r>
      <rPr>
        <sz val="10"/>
        <rFont val="Arial"/>
        <family val="2"/>
      </rPr>
      <t>1</t>
    </r>
    <r>
      <rPr>
        <sz val="10"/>
        <rFont val="Arial"/>
        <family val="2"/>
      </rPr>
      <t>, Januar, utgifter</t>
    </r>
  </si>
  <si>
    <t>Julegrantenning 1. advent, bervertning</t>
  </si>
  <si>
    <t>Julegrantenning 1. advent, nisseorkester</t>
  </si>
  <si>
    <t>Vår dugnad inkl leie av containere</t>
  </si>
  <si>
    <t>til beboerenes disposisjon</t>
  </si>
  <si>
    <r>
      <t>Gebyrer postbanken 201</t>
    </r>
    <r>
      <rPr>
        <sz val="10"/>
        <rFont val="Arial"/>
        <family val="2"/>
      </rPr>
      <t>1</t>
    </r>
  </si>
  <si>
    <r>
      <rPr>
        <sz val="10"/>
        <rFont val="Arial"/>
        <family val="2"/>
      </rPr>
      <t>Innteksført kr. 50,- for s</t>
    </r>
    <r>
      <rPr>
        <sz val="10"/>
        <rFont val="Arial"/>
        <family val="2"/>
      </rPr>
      <t>kilt til ballbingen</t>
    </r>
  </si>
  <si>
    <t>Innvilget støtte til Senior 60 + for 2011</t>
  </si>
  <si>
    <t>Innvilget støtte til Senior 60+ fos 2011</t>
  </si>
  <si>
    <t>Årlig domene avgift</t>
  </si>
  <si>
    <t>Opprydning/vedlikehold i nærområdet</t>
  </si>
  <si>
    <t>Domeneavgift nettside bet. Av kasserer</t>
  </si>
  <si>
    <t>Avgift til grunneier for området på øst-</t>
  </si>
  <si>
    <t xml:space="preserve">siden av Svarttjern ble betalt i 2009 og </t>
  </si>
  <si>
    <t>gjelder for 10 år. Neste forfall, 2019.</t>
  </si>
  <si>
    <t>2012 til etterfylling av sand rundt leke-</t>
  </si>
  <si>
    <t>apparatene på ballplassen.</t>
  </si>
  <si>
    <t>Note 10</t>
  </si>
  <si>
    <t xml:space="preserve">Tilskudd avsatt til Senior 60+, men ikke </t>
  </si>
  <si>
    <t xml:space="preserve">utbetalt enda. For 2012 er det satt opp </t>
  </si>
  <si>
    <t xml:space="preserve">Det er satt av kr. 5000 i budsjettet for </t>
  </si>
  <si>
    <t>kr. 10000,- i støtte til ulike arrangementer.</t>
  </si>
  <si>
    <t>UB 31.12.2012</t>
  </si>
  <si>
    <t>DnB</t>
  </si>
  <si>
    <t>Årsmøte</t>
  </si>
  <si>
    <t>Faktura Nisseorkester, Juletrefest</t>
  </si>
  <si>
    <t>Materialer ny bro, Svarttjern</t>
  </si>
  <si>
    <t>Medlemskontingent 82 stk</t>
  </si>
  <si>
    <t>Dugnad 12/5</t>
  </si>
  <si>
    <t>Dugnad 12/5 - mat</t>
  </si>
  <si>
    <t>Dugnad 12/5 - container</t>
  </si>
  <si>
    <t>Dugnad 12/5 - sand</t>
  </si>
  <si>
    <t>Medlemskontingent 17 stk</t>
  </si>
  <si>
    <t>Årsmøte - kopi</t>
  </si>
  <si>
    <t>Skillebekk Vel regnskap 2012</t>
  </si>
  <si>
    <t>Skillebekk Senior 60+, for 2012/2011</t>
  </si>
  <si>
    <t>Overføring til plasseringskonto</t>
  </si>
  <si>
    <t>Renter DnB, brukskonto</t>
  </si>
  <si>
    <t>Renter DnB, plasseringskonto</t>
  </si>
  <si>
    <t>Balanse, Skillebekk Vel 2012</t>
  </si>
  <si>
    <t>Resultatregnskap, Skillebekk Vel 2012</t>
  </si>
  <si>
    <t>Budsjett 2013</t>
  </si>
  <si>
    <t>UB 31.12.2011</t>
  </si>
  <si>
    <t>DnB, brukskto.</t>
  </si>
  <si>
    <t>Ikke i bruk</t>
  </si>
  <si>
    <t>ikke i bruk</t>
  </si>
  <si>
    <t>Note 1 - Tilskudd</t>
  </si>
  <si>
    <t>60+</t>
  </si>
  <si>
    <r>
      <t>Juletrefest</t>
    </r>
    <r>
      <rPr>
        <sz val="10"/>
        <rFont val="Arial"/>
        <family val="2"/>
      </rPr>
      <t>, Januar, inntekter</t>
    </r>
  </si>
  <si>
    <r>
      <t>Juletrefest</t>
    </r>
    <r>
      <rPr>
        <sz val="10"/>
        <rFont val="Arial"/>
        <family val="2"/>
      </rPr>
      <t>, Januar, utgifter</t>
    </r>
  </si>
  <si>
    <t>Bevertning</t>
  </si>
  <si>
    <t>Sand til ballplassen og Svarttjern</t>
  </si>
  <si>
    <t>Gebyrer bank</t>
  </si>
  <si>
    <t>Kopiering Årsmøte</t>
  </si>
  <si>
    <t>Note 7 - avgift Svarttjern</t>
  </si>
  <si>
    <r>
      <t xml:space="preserve">gjelder for 10 år. </t>
    </r>
    <r>
      <rPr>
        <b/>
        <sz val="10"/>
        <rFont val="Arial"/>
        <family val="2"/>
      </rPr>
      <t>Neste forfall, 2019</t>
    </r>
    <r>
      <rPr>
        <sz val="10"/>
        <rFont val="Arial"/>
        <family val="2"/>
      </rPr>
      <t>.</t>
    </r>
  </si>
  <si>
    <t>Ny bro ved Svarttjern</t>
  </si>
  <si>
    <t>Prosjekter</t>
  </si>
  <si>
    <t>leie badeplass (i 2019)</t>
  </si>
  <si>
    <t>nærområdet</t>
  </si>
  <si>
    <t>Reservefond</t>
  </si>
  <si>
    <t>Bunden EK, anleggsmidler</t>
  </si>
  <si>
    <t>Materialer ny bro, Svarttjern, utbet i '13</t>
  </si>
  <si>
    <t>Uttlegg materialer ny bro, Svarttjern</t>
  </si>
  <si>
    <t>20% renteinntekter til resvervefond</t>
  </si>
  <si>
    <t>Disposisjonsfond</t>
  </si>
  <si>
    <t>Overført disposisjonsfond</t>
  </si>
  <si>
    <t>Kontingent Velforbundet</t>
  </si>
  <si>
    <t>antall medl.</t>
  </si>
  <si>
    <t>6,- pr stk</t>
  </si>
  <si>
    <t>grunnbeløp</t>
  </si>
  <si>
    <t>kontingent</t>
  </si>
  <si>
    <t>sum</t>
  </si>
  <si>
    <t>for 2012</t>
  </si>
  <si>
    <t>Note 8 - Disponering av resultat</t>
  </si>
  <si>
    <t>Innestående på høyrentekonto</t>
  </si>
  <si>
    <t>DnB, høyrentekto.</t>
  </si>
  <si>
    <t>Reservefonds andel av høyrentekto.</t>
  </si>
  <si>
    <t>Renteinntekt totalt</t>
  </si>
  <si>
    <t>Renteinntekt på reservefond</t>
  </si>
  <si>
    <t>Note 11</t>
  </si>
  <si>
    <t>Note 9 - Anleggsmidler</t>
  </si>
  <si>
    <t>Note 10 - Kortsiktig gjeld</t>
  </si>
  <si>
    <t>Note 11 - Egenkapital</t>
  </si>
  <si>
    <t>Reservefond, bundene milder i bank</t>
  </si>
  <si>
    <t>Disponeringsfond, frie midler i bank</t>
  </si>
  <si>
    <t>P1</t>
  </si>
  <si>
    <t>P2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</si>
  <si>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</si>
  <si>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</si>
  <si>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</si>
  <si>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</si>
  <si>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</si>
  <si>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</si>
  <si>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</si>
  <si>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</si>
  <si>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</si>
  <si>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</si>
  <si>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</si>
  <si>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</si>
  <si>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</si>
  <si>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</si>
  <si>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</si>
  <si>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</si>
  <si>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</si>
  <si>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</si>
  <si>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</si>
  <si>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</si>
  <si>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</si>
  <si>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</si>
  <si>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</si>
  <si>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</si>
  <si>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</si>
  <si>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</si>
  <si>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</si>
  <si>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</si>
  <si>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</si>
  <si>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</si>
  <si>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Note 2 - Arrangementer</t>
  </si>
  <si>
    <t>Note 3 - Dugnader</t>
  </si>
  <si>
    <t>Note 4 - Nærområdet</t>
  </si>
  <si>
    <t>Note 5 - Prosjekter</t>
  </si>
  <si>
    <t>Note 6 - styrets disposisjon</t>
  </si>
  <si>
    <t>Skillebekk Vel regnskap 2013</t>
  </si>
  <si>
    <t>Inngående balanse fra 2013</t>
  </si>
  <si>
    <t>Inngående balanse fra 2012</t>
  </si>
  <si>
    <t>Balanse, Skillebekk Vel 2013</t>
  </si>
  <si>
    <t>Resultatregnskap, Skillebekk Vel 2013</t>
  </si>
  <si>
    <t>Budsjett 2014</t>
  </si>
  <si>
    <t>utbet kort.gjeld (Materialer ny bro, Svarttjern)</t>
  </si>
  <si>
    <t xml:space="preserve">Vellenes Fellesorganisasjon </t>
  </si>
  <si>
    <t>Overføring bruks/plasseringskonto</t>
  </si>
  <si>
    <t>Medl. Vel forbundet</t>
  </si>
  <si>
    <t>Rep av badebrygge</t>
  </si>
  <si>
    <t>Opprydning/vedlikehold</t>
  </si>
  <si>
    <t>Div utlegg vaktmester Grendehuset</t>
  </si>
  <si>
    <t>Medlemskontingent 71 stk</t>
  </si>
  <si>
    <t>Dugnad 4/5 - container</t>
  </si>
  <si>
    <t>Medlemskontingent 8 stk</t>
  </si>
  <si>
    <t>Vårdugnad og 75 år jubileum</t>
  </si>
  <si>
    <t>MVA komp.</t>
  </si>
  <si>
    <t>Medlemskontingent 1 stk, bet for mye</t>
  </si>
  <si>
    <t>Medlemskontingent 25 stk</t>
  </si>
  <si>
    <t>B31</t>
  </si>
  <si>
    <t>B32</t>
  </si>
  <si>
    <t>Skillebekk Senior 60+, for 2013</t>
  </si>
  <si>
    <t>Virkelig</t>
  </si>
  <si>
    <t>budsjett</t>
  </si>
  <si>
    <t>D1</t>
  </si>
  <si>
    <t>Utgifter Årsmøte 2013</t>
  </si>
  <si>
    <t>D2</t>
  </si>
  <si>
    <t>D3</t>
  </si>
  <si>
    <t>D4</t>
  </si>
  <si>
    <t>Medlemskontingent 9 stk, bet i 2014</t>
  </si>
  <si>
    <t>Note 12</t>
  </si>
  <si>
    <t>Refundert MVA</t>
  </si>
  <si>
    <t>Innkjøp julegrantenning</t>
  </si>
  <si>
    <t>75 års jubileum</t>
  </si>
  <si>
    <t>Reperasjon badebrygge Svarttjern</t>
  </si>
  <si>
    <t>2 stk isskraper til Svarttjern</t>
  </si>
  <si>
    <t>Isskraper til Svarttjern</t>
  </si>
  <si>
    <t>Faktura Nisseorkester, Juletrefest, bet av FH</t>
  </si>
  <si>
    <t>Faktura Nisseorkester, tilbakebet FH</t>
  </si>
  <si>
    <t>(frie midler)</t>
  </si>
  <si>
    <t>(låst ihht vedtektene)</t>
  </si>
  <si>
    <t>Note 13</t>
  </si>
  <si>
    <t>Note 14</t>
  </si>
  <si>
    <t>Note 1 - Medlemskontigenter</t>
  </si>
  <si>
    <t>år</t>
  </si>
  <si>
    <t>Note 2 - Diverse inntekter</t>
  </si>
  <si>
    <t>Note 3 - Tilskudd</t>
  </si>
  <si>
    <t>andre</t>
  </si>
  <si>
    <t>stk</t>
  </si>
  <si>
    <t>Note 4 - Arrangementer</t>
  </si>
  <si>
    <t>Juletrefest, avlyst</t>
  </si>
  <si>
    <t>Annet</t>
  </si>
  <si>
    <t>Note 5 - Dugnader</t>
  </si>
  <si>
    <t>Containere, bevertning</t>
  </si>
  <si>
    <t>Note 6 - Opprydning/vedlikehold i nærområdet</t>
  </si>
  <si>
    <t>Note 7 - Prosjekter</t>
  </si>
  <si>
    <t>Ny trapp fra Tjernslia til Holumbakken</t>
  </si>
  <si>
    <t>Ganglemmer bak Svarttjern</t>
  </si>
  <si>
    <t>Note 8 - styrets disposisjon</t>
  </si>
  <si>
    <t>Diverse</t>
  </si>
  <si>
    <t>Note 9 - avgift Svarttjern</t>
  </si>
  <si>
    <t>Note 10 - Disponering av resultat</t>
  </si>
  <si>
    <t>Note 11 - Utestående fordringer</t>
  </si>
  <si>
    <t>Utlegg for Grendehuset, vaktmester</t>
  </si>
  <si>
    <t>Medlemskontigenter for 2013, bet i 2014</t>
  </si>
  <si>
    <t>Note 12 - Anleggsmidler</t>
  </si>
  <si>
    <t>Note 13 - Kortsiktig gjeld</t>
  </si>
  <si>
    <t>Medlem innbet for mye</t>
  </si>
  <si>
    <t>Uttlegg årsmøte, web, julegrantenning</t>
  </si>
  <si>
    <t>Note 14 - Egenkapital</t>
  </si>
  <si>
    <t>Test balansen</t>
  </si>
  <si>
    <t>Test disponering av EK</t>
  </si>
  <si>
    <t>Disponeringsfond, frie midler</t>
  </si>
  <si>
    <t>Reservefond, bundene milder ihht vedtekene</t>
  </si>
  <si>
    <t>+ Årets disponering</t>
  </si>
  <si>
    <t>Noter, Skillebekk Vel 2013</t>
  </si>
  <si>
    <t>Snegle aksjon, nye benker, reperasjoner</t>
  </si>
  <si>
    <t>Budsjett for 2014</t>
  </si>
  <si>
    <t>Renteinntekt som gjelder reservefond</t>
  </si>
  <si>
    <t>Årsresultat</t>
  </si>
  <si>
    <t>20% renteinntekter legges til resvervefond</t>
  </si>
  <si>
    <t>Overføres til disposisjonsfond</t>
  </si>
  <si>
    <t>Noter, Skillebekk Vel 2014</t>
  </si>
  <si>
    <t>Resultatregnskap, Skillebekk Vel 2014</t>
  </si>
  <si>
    <t>Budsjett 2015</t>
  </si>
  <si>
    <t>Balanse, Skillebekk Vel 2014</t>
  </si>
  <si>
    <t>Skillebekk Vel regnskap 2014</t>
  </si>
  <si>
    <t>Inngående balanse</t>
  </si>
  <si>
    <t>UB 31.12.</t>
  </si>
  <si>
    <t>01.01.</t>
  </si>
  <si>
    <t>Renteinntekt totalt på høyrentekonto</t>
  </si>
  <si>
    <t>Omkostninger DNB fra 2013</t>
  </si>
  <si>
    <t>Brenden &amp; Co Gjennvinning</t>
  </si>
  <si>
    <t>Kontoregulering fra  1203.52.54569</t>
  </si>
  <si>
    <t>TV kabel Grendehus - Blekk + lås</t>
  </si>
  <si>
    <t>Tilbakebet.  Ellen Erichsen Heier- for mye kontigent</t>
  </si>
  <si>
    <t>Faktura/Giro</t>
  </si>
  <si>
    <t>Invitasjoner ark, Nettsiden 2013, Årsmøte utgifter</t>
  </si>
  <si>
    <t>Giro 3877576 - Web side</t>
  </si>
  <si>
    <t>Byggmax og Optimera</t>
  </si>
  <si>
    <t>Årsmøte, dugnad vel hus, snegleaksjon</t>
  </si>
  <si>
    <t>Nemaslug</t>
  </si>
  <si>
    <t>Leteng AS - Skjerm og utstyr Grendehus</t>
  </si>
  <si>
    <t>Europarts - Skjerm og utstyr Grendehus</t>
  </si>
  <si>
    <t>Julegrantenning utgifter 2013</t>
  </si>
  <si>
    <t>Medlemskontingent 7 stk - april 2014</t>
  </si>
  <si>
    <t>Medlemskontingent 3 stk - juni 2014</t>
  </si>
  <si>
    <t>Medlemskontingent 1 stk - juli 2014</t>
  </si>
  <si>
    <t>Medlemskontingent 1 stk - august 2014</t>
  </si>
  <si>
    <t>Medlemskontingent 45 stk - september 2014</t>
  </si>
  <si>
    <t>Renovasjon - lekeplass - nittedal kommune</t>
  </si>
  <si>
    <t>Medlemskontigent 35 stk - november 2014</t>
  </si>
  <si>
    <t>DnB Connect - Foretak omk. Nye brukere</t>
  </si>
  <si>
    <t>Medlemskontigent 1 stk - desember 2014</t>
  </si>
  <si>
    <t>Moms refusjon Vellenes FO</t>
  </si>
  <si>
    <t>Kontingent Vellenes FO</t>
  </si>
  <si>
    <t>Gressklipp ballplass-se rest bet i des.</t>
  </si>
  <si>
    <t xml:space="preserve">Dugnad - ny trapp </t>
  </si>
  <si>
    <t>Styre middag - avslutning - 6 pers</t>
  </si>
  <si>
    <t>Medlemskontingent 27 stk - oktober 2014</t>
  </si>
  <si>
    <t>Kontoregulering Sprare til Bruk</t>
  </si>
  <si>
    <t>Aksjekapital Solstua Barnehage</t>
  </si>
  <si>
    <t>17 mai - Søndre Nittedal Veterankorps</t>
  </si>
  <si>
    <t>Trapp Tjernslia til Holumbakken</t>
  </si>
  <si>
    <t>First Audio -TV Solstua</t>
  </si>
  <si>
    <t>Skillebekk Senior + 60 for 2014</t>
  </si>
  <si>
    <t>TV-Solstua</t>
  </si>
  <si>
    <t xml:space="preserve">Medlemskontingent 2013 - bet 8 stk januar 2014 </t>
  </si>
  <si>
    <t>Styremiddag</t>
  </si>
  <si>
    <t>P3</t>
  </si>
  <si>
    <t>P4</t>
  </si>
  <si>
    <t>B33</t>
  </si>
  <si>
    <t>B34</t>
  </si>
  <si>
    <t>B35</t>
  </si>
  <si>
    <t>B36</t>
  </si>
  <si>
    <t>B38</t>
  </si>
  <si>
    <t>B37</t>
  </si>
  <si>
    <t>B39</t>
  </si>
  <si>
    <t>B40</t>
  </si>
  <si>
    <t>B41</t>
  </si>
  <si>
    <t>P5</t>
  </si>
  <si>
    <t>P6</t>
  </si>
  <si>
    <t>Innestående saldo på høyrentekonto</t>
  </si>
  <si>
    <t>Endring</t>
  </si>
  <si>
    <t>Innbet. Aksjekapital Solstua Barnehage</t>
  </si>
  <si>
    <t>Sjekk at saldo og renter bank stemmer pr 31.12.</t>
  </si>
  <si>
    <t>Gå gjennom posteringene og sjekk mot bilagene.</t>
  </si>
  <si>
    <t>Se at IB stemmer med godkjent regnskap fra Årsmøte.</t>
  </si>
  <si>
    <t>Sjekkliste for revidering av regnskapet</t>
  </si>
  <si>
    <t>Kontroller kortsiktig gjeld og fordringer, pass spesielt på det fra tidligere år.</t>
  </si>
  <si>
    <t>Sjekk at dato/år er oppdatert.</t>
  </si>
  <si>
    <t>Påse at Test balansen/disponering av EK (under Resultatregnskapet) er OK.</t>
  </si>
  <si>
    <t>Kontroller at evt økonomiske beslutninger/vedtak fra Årsmøtet er ivaretatt.</t>
  </si>
  <si>
    <t>Se at Notene er oppdatert med årets tall og kommentarer.</t>
  </si>
  <si>
    <t>Budsjett (200,-)</t>
  </si>
  <si>
    <t>Virkelig  (200,-)</t>
  </si>
  <si>
    <t>Til Årsmøtet i Skillebekk Vel</t>
  </si>
  <si>
    <t>Kommentar:</t>
  </si>
  <si>
    <t>Dette resultatet er disponert i henhold til Vedtekene §9.</t>
  </si>
  <si>
    <t>Medlem Revisjonskomiteen</t>
  </si>
  <si>
    <t>Etter vår mening viser regnskapet et riktig resultat samt et riktig bilde av den økonomiske situasjonene til Skillebekk Vel.</t>
  </si>
  <si>
    <t>Vi har gått gjennom regnskapet for Skillebekk Vel. Regnskapet som består av resultat og balanse, er avgitt av Styret i Skillebekk Vel.</t>
  </si>
  <si>
    <t>Gjennomgang av regnskapet for året</t>
  </si>
  <si>
    <t>Regnskapet viser et resultat på kr.</t>
  </si>
  <si>
    <t>Thilde Dalsmo Stray</t>
  </si>
  <si>
    <t>Ref vedtekene §4, skal utbetalinger over 2 000,- signeres av både Leder og Kasserer, beløp under holder med kun en.</t>
  </si>
  <si>
    <t>( - = underskudd )</t>
  </si>
  <si>
    <t>Budsjett for 2015 (300,-)</t>
  </si>
  <si>
    <t>Budsjett for 2015</t>
  </si>
  <si>
    <t>til beboerenes disposisjon og snegeaksjon</t>
  </si>
  <si>
    <t>Plen klipp ballplass</t>
  </si>
  <si>
    <t>Snegle aksjon, nye benker, reparasjoner, plenklipp</t>
  </si>
  <si>
    <t>Høstdugnad rydding før trapp</t>
  </si>
  <si>
    <t>Kostnader</t>
  </si>
  <si>
    <t>Medlemskontingent 5 stk, bet i 2014</t>
  </si>
  <si>
    <t>Prosjekter nærområdet</t>
  </si>
  <si>
    <t>Faktura - Giro-årsmøte - blekk</t>
  </si>
  <si>
    <t>Medlemskontigenter for 2014, bet i 2015</t>
  </si>
  <si>
    <t>TV- Solstua</t>
  </si>
  <si>
    <t>Fra 2013</t>
  </si>
  <si>
    <t>Sum kostnader</t>
  </si>
  <si>
    <t>Omkostninger DNB fra 2014</t>
  </si>
  <si>
    <t>Medlemskontingent 2014 - bet 1 stk januar 2015</t>
  </si>
  <si>
    <t>Omkostninger DNB januar 2015</t>
  </si>
  <si>
    <t>Medlemskontingent 4 stk -  2014</t>
  </si>
  <si>
    <t>Omkostninger DNB februar 2015</t>
  </si>
  <si>
    <t>Medlemskontingent 1 stk -  2014</t>
  </si>
  <si>
    <t>Omkostninger DNB mars 2015</t>
  </si>
  <si>
    <t>Rusken dugnad vår 2015</t>
  </si>
  <si>
    <t>Støtsand/Lekesand Svarttjern/Lekeplass</t>
  </si>
  <si>
    <t>Postkasseprosjekt</t>
  </si>
  <si>
    <t>Postkassestativ</t>
  </si>
  <si>
    <t>Medlemskontigent 2015 - 2 stk</t>
  </si>
  <si>
    <t>Vellenes Fellesorganisasjon - kontingent 15</t>
  </si>
  <si>
    <t>Gressklipp ballplass</t>
  </si>
  <si>
    <t>Reperasjon brygge svarttjern</t>
  </si>
  <si>
    <t>Senior 60+ Skillebekk</t>
  </si>
  <si>
    <t>One.com - Webhotell Small</t>
  </si>
  <si>
    <t>Resultatregnskap, Skillebekk Vel 2015</t>
  </si>
  <si>
    <t>Budsjett 2016</t>
  </si>
  <si>
    <t>Noter, Skillebekk Vel 2015</t>
  </si>
  <si>
    <t>Budsjett (300,-)</t>
  </si>
  <si>
    <t>Virkelig  (300,-)</t>
  </si>
  <si>
    <t>Budsjett for 2016 (300,-)</t>
  </si>
  <si>
    <t>Medlemskont 55 x 300</t>
  </si>
  <si>
    <t>Medlemskont 1 x 200</t>
  </si>
  <si>
    <t>Faktura - medlemskont</t>
  </si>
  <si>
    <t>Medlemskont 8 x 300</t>
  </si>
  <si>
    <t>Ovf. VFO - MVA refusjon</t>
  </si>
  <si>
    <t>Julegrantenning - godteposer</t>
  </si>
  <si>
    <t>Styre middag 2015 x 6 personer</t>
  </si>
  <si>
    <t>Skillebekk Vel regnskap 2015</t>
  </si>
  <si>
    <t>Søknad 28.256</t>
  </si>
  <si>
    <t>Balanse, Skillebekk Vel 2015</t>
  </si>
  <si>
    <t>Rest postkassestativ</t>
  </si>
  <si>
    <t>Budsjett for 2016</t>
  </si>
  <si>
    <t>Snegle aksjon, reparasjoner, plenklipp</t>
  </si>
  <si>
    <t>Støtsand Svarttjern + lekeplass</t>
  </si>
  <si>
    <t>Vår dugnad inkl div. rep.</t>
  </si>
  <si>
    <t>Tap på fordring</t>
  </si>
  <si>
    <t>Ført som tap på fordring</t>
  </si>
  <si>
    <t>Rest postkassestativ prosjekt</t>
  </si>
  <si>
    <t>Ført som utgift</t>
  </si>
  <si>
    <t xml:space="preserve">6 stk Medlemskont 2015 betalt jan. 2016 </t>
  </si>
  <si>
    <t>Balanse, Skillebekk Vel 2016</t>
  </si>
  <si>
    <t>Resultatregnskap, Skillebekk Vel 2016</t>
  </si>
  <si>
    <t>Budsjett 2017</t>
  </si>
  <si>
    <t>Inntekter salg oktoberfest</t>
  </si>
  <si>
    <t>VFO: refusjon av mva</t>
  </si>
  <si>
    <t>Omkostninger</t>
  </si>
  <si>
    <t>Medlemskontigent 1 stk</t>
  </si>
  <si>
    <t>Medlemskontigent 2 stk</t>
  </si>
  <si>
    <t>Medlemskontigent 6 stk</t>
  </si>
  <si>
    <t>Medlemskontigent 11 stk @ 292,50 (vipps)</t>
  </si>
  <si>
    <t>Kate Alnes 50% av egenandel for veterinærutgifter</t>
  </si>
  <si>
    <t>Vårdugnad</t>
  </si>
  <si>
    <t>Blekk + medlemsgiroer</t>
  </si>
  <si>
    <t>Vårdugnad: bevertning</t>
  </si>
  <si>
    <t>Søndre Nittedal Veterankorps</t>
  </si>
  <si>
    <t>Snegledugnad</t>
  </si>
  <si>
    <t>St. Hans feiring</t>
  </si>
  <si>
    <t>Kontingent Vellenes Fellesorganisasjon</t>
  </si>
  <si>
    <t>Tilbakebetaling dobbel medl.kont Grethe Olsen</t>
  </si>
  <si>
    <t>Nor Engros - 2 stk Plakatstativ</t>
  </si>
  <si>
    <t>Oslo Park og Hage</t>
  </si>
  <si>
    <t>Aktivering iZettle-konto (depositum)</t>
  </si>
  <si>
    <t>Refusjon av depositum</t>
  </si>
  <si>
    <t>Nittedal kommune - skjenkebev oktoberfest</t>
  </si>
  <si>
    <t>Oktoberfest: mat</t>
  </si>
  <si>
    <t>Oktoberfest: pynt</t>
  </si>
  <si>
    <t>TnT Norge - importavgift iZettle</t>
  </si>
  <si>
    <t>Medlemskontigent 3 stk @ 292,50 (vipps)</t>
  </si>
  <si>
    <t>Renter bedriftskonto</t>
  </si>
  <si>
    <t>Noter, Skillebekk Vel 2017</t>
  </si>
  <si>
    <t>Budsjett for 2017</t>
  </si>
  <si>
    <t>Oktoberfest: leie av tappetårn + ølglass Rett Hjem</t>
  </si>
  <si>
    <t>300,-</t>
  </si>
  <si>
    <t>Note 1 - Medlemskontigenter 2016</t>
  </si>
  <si>
    <t>Virkelig  (292,50,- via Vipps)</t>
  </si>
  <si>
    <t>Medlemskontigent 6 stk - 2015</t>
  </si>
  <si>
    <t>292,50.-</t>
  </si>
  <si>
    <t>Inntekter obtoberfest</t>
  </si>
  <si>
    <t>Andre</t>
  </si>
  <si>
    <t>St. Hans fest</t>
  </si>
  <si>
    <t>Oktoberfest</t>
  </si>
  <si>
    <t>Infostativ</t>
  </si>
  <si>
    <t>Samme arrangementer som 2016</t>
  </si>
  <si>
    <t>Vår dugnad</t>
  </si>
  <si>
    <t>Påfyll støtsand lekeplass + Svarttjern</t>
  </si>
  <si>
    <t>Plenklip ballplass</t>
  </si>
  <si>
    <t>Salg ved arrangement</t>
  </si>
  <si>
    <t>Refusjon av MVA</t>
  </si>
  <si>
    <t>Medlem  2016 Stine Rasmussen Holumbakken 34 stine@skillebekk.com 99020749</t>
  </si>
  <si>
    <t>Medlem  2015 Thilde Dalsmo Stray Gamle Trondheimsvei 42 thilde.stray@gmail.com 47668926</t>
  </si>
  <si>
    <t>Revisjonskomitee</t>
  </si>
  <si>
    <t>Oktoberfest: utgifter fakturert i 2017</t>
  </si>
  <si>
    <t>Trenings- og aktivitetspark (Tuftepark)</t>
  </si>
  <si>
    <t>Omkostninger DnB</t>
  </si>
  <si>
    <t>Forsikringssak Kate Alnæs: 50% av egenandel</t>
  </si>
  <si>
    <t>iZettle - betalingsløsning</t>
  </si>
  <si>
    <t>Containere, materialer, bevertning etc</t>
  </si>
  <si>
    <t>Beregning av kontingent Velforbundet</t>
  </si>
  <si>
    <t>Oktoberfest: kontanter fra salg inn mars 2017</t>
  </si>
  <si>
    <t>Oktoberfest: kontantbetaling fra fest innbetalt i mars 2017</t>
  </si>
  <si>
    <t>Medlemskontigent 80 stk @ 300</t>
  </si>
  <si>
    <t>Utlegg faktura til medlemskont.</t>
  </si>
  <si>
    <t>Stine Rasmussen</t>
  </si>
  <si>
    <t>Kopipapiir og blekk til printer</t>
  </si>
  <si>
    <t>D5</t>
  </si>
  <si>
    <t>Bevertning St. Hans</t>
  </si>
  <si>
    <t>D6</t>
  </si>
  <si>
    <t>Ark Stovner: giroblanketter</t>
  </si>
  <si>
    <t>D7</t>
  </si>
  <si>
    <t>20% renteinntekter overføres resvervefond</t>
  </si>
  <si>
    <t>Avgift til grunneier for området på øst-siden av Svarttjern ble betalt i 2009 og gjelder for 10 år. Neste forfall, 2019.</t>
  </si>
  <si>
    <t>8,- pr medlemm</t>
  </si>
  <si>
    <t>Grunnbeløp</t>
  </si>
  <si>
    <t>Kontingent</t>
  </si>
  <si>
    <t>År</t>
  </si>
  <si>
    <t>Reelle betalende</t>
  </si>
  <si>
    <t>Regnskap Skillebekk Vel - 2016</t>
  </si>
  <si>
    <t>Nytt lekestativ</t>
  </si>
  <si>
    <t>Milas Lekestativ</t>
  </si>
  <si>
    <t>D8</t>
  </si>
  <si>
    <t>Nytt lekestativ - godkjent på årsmøte 2016</t>
  </si>
  <si>
    <t>Resultatregnskap, Skillebekk Vel 2017</t>
  </si>
  <si>
    <t>Balanse, Skillebekk Vel 2017</t>
  </si>
  <si>
    <t>Regnskap Skillebekk Vel - 2017</t>
  </si>
  <si>
    <t>Rett Hjem Øst AS - Oktoberfest 2016</t>
  </si>
  <si>
    <t>Medlemskontigent - Vipps (2)</t>
  </si>
  <si>
    <t>Medlemskontigent (2)</t>
  </si>
  <si>
    <t>May Olsen</t>
  </si>
  <si>
    <t>One.com</t>
  </si>
  <si>
    <t>Medlemskontigent (8 giro + 2 vipps)</t>
  </si>
  <si>
    <t>Medlemskontigent (79 giro)</t>
  </si>
  <si>
    <t>Medlemskontigent (11 giro)</t>
  </si>
  <si>
    <t>Vellenes Fellesorganisasjon - medlemskontigent</t>
  </si>
  <si>
    <t>Medlemskontigent (1)</t>
  </si>
  <si>
    <t>Oslo Park og Hage AS</t>
  </si>
  <si>
    <t>Medlemskontigent (14 giro + 1 vipps)</t>
  </si>
  <si>
    <t>Medlemskontigent (5 giro + 2 vipps)</t>
  </si>
  <si>
    <t>Milas Lekestativ (Levert 2016)</t>
  </si>
  <si>
    <t>Effektus AS - StyreWeb</t>
  </si>
  <si>
    <t>Nittedal Kommune - Skjenkebevilling Oktoberfest</t>
  </si>
  <si>
    <t>Bill Søbstad - Julegrantenning godteposer + gløgg</t>
  </si>
  <si>
    <t>Bill Søbstad - St.Hans feiring</t>
  </si>
  <si>
    <t>Bill Søbstad - Dugnad</t>
  </si>
  <si>
    <t>Franzefoss Gjenvinning AS - Container</t>
  </si>
  <si>
    <t>Transportsentralen - Sand Lekeplass</t>
  </si>
  <si>
    <t>Bill Søbstad - Refleksdag</t>
  </si>
  <si>
    <t>Budsjett 2018</t>
  </si>
  <si>
    <t>Noter, Skillebekk Vel 2016</t>
  </si>
  <si>
    <t>Budsjett for 2018</t>
  </si>
  <si>
    <t>Bill Søbstad - styremiddag</t>
  </si>
  <si>
    <t>Thor Dag Falkeid - Catering styremøte/styremiddag</t>
  </si>
  <si>
    <t>Giroblanketter</t>
  </si>
  <si>
    <t>Styreweb</t>
  </si>
  <si>
    <t>Utbetalt for mye i refusjon</t>
  </si>
  <si>
    <t>Nytt lekestativ Tjernslia lekeplass</t>
  </si>
  <si>
    <t>Refleksdag</t>
  </si>
  <si>
    <t>Containere</t>
  </si>
  <si>
    <t>Snegledugnad (Nemaslug)</t>
  </si>
  <si>
    <t>Støtsand (Svarttjern + lekeplass)</t>
  </si>
  <si>
    <t>For beregning av kontingent til Velforbundet</t>
  </si>
  <si>
    <t>Prosjektet var fra 2016, men fakturert i starten på 2017</t>
  </si>
  <si>
    <t>Samarbeid med Holumskog Vel som stiller med 305 000.-</t>
  </si>
  <si>
    <t>Sommerfest</t>
  </si>
  <si>
    <t>Søknadsbasert tilskudd</t>
  </si>
  <si>
    <t>May Olsen - Bevertning årsmøte</t>
  </si>
  <si>
    <t>Bill Søbstad - Blomster årsmøte</t>
  </si>
  <si>
    <t>Innskudd - kontanter oktorberfest 2016</t>
  </si>
  <si>
    <t>Christine Holmen (utlegg 2016 + refleksdag)</t>
  </si>
  <si>
    <t>B7a+b</t>
  </si>
  <si>
    <t>Søndre Nittedal Veterankorps - kreditering B21</t>
  </si>
  <si>
    <t>Søndre Nittedal Veterankorps - dobbel bet (se B16)</t>
  </si>
  <si>
    <t>Kjellfrid Sponberg - tilskudd 60+</t>
  </si>
  <si>
    <t>Regnskap Skillebekk Vel - 2018</t>
  </si>
  <si>
    <t>Spilling ved Julegrantenning/SN Skolekorps</t>
  </si>
  <si>
    <t>Lisens Styreweb/Effektus</t>
  </si>
  <si>
    <t>Medlemskontingent (1)</t>
  </si>
  <si>
    <t>Medlemskontingent (9 inkl. 3 Vipps)</t>
  </si>
  <si>
    <t>ONE COM A/S</t>
  </si>
  <si>
    <t>Bill Søbstad (utlegg årsmøte)</t>
  </si>
  <si>
    <t>Linda Strand (Refusjon blekk papir)</t>
  </si>
  <si>
    <t>Medlemskontingent (54)</t>
  </si>
  <si>
    <t>Medlemskontingent (31 inkl. 1 Vipps og to supl.)</t>
  </si>
  <si>
    <t>Styreweb/Effektus AS</t>
  </si>
  <si>
    <t>Bill Søbstad (utlegg dugnad)</t>
  </si>
  <si>
    <t>Medlemskontigent (7)</t>
  </si>
  <si>
    <t>Medlemskontingent (3)</t>
  </si>
  <si>
    <t>Overføring til 60 + v Kjellfrid Sponberg</t>
  </si>
  <si>
    <t>Bill Søbstad (utlegg St. Hans)</t>
  </si>
  <si>
    <t>Mortens Kro/Senior 60 + (tilbakeført se B31)</t>
  </si>
  <si>
    <t>Innbetaling Egenandel Vipps og Izettle Oktoberfest</t>
  </si>
  <si>
    <t>Skjenkebevilling Oktoberfest</t>
  </si>
  <si>
    <t>Bill Søbstad - Utlegg Oktoberfest</t>
  </si>
  <si>
    <t>Bill Søbstad - Oppgjør utlegg Oktoberfest</t>
  </si>
  <si>
    <t>Tilbakebetaling Mortens Kro/60+  (Se B18)</t>
  </si>
  <si>
    <t>Jobbsmoothie/Oktoberfesten</t>
  </si>
  <si>
    <t>Christine Holmen - Oppgjør utlegg oktoberfest</t>
  </si>
  <si>
    <t>Ellen-C. Eriksen Heier - Utlegg oktoberfest</t>
  </si>
  <si>
    <t>Momsrefusjon overført fra Vellenes Fellesorg.</t>
  </si>
  <si>
    <t>Styremiddag - Thors Kjøkken</t>
  </si>
  <si>
    <t>Bill Søbstad - Utlegg Styremiddag</t>
  </si>
  <si>
    <t>Regnskap skillebekk vel 2018.xlsx</t>
  </si>
  <si>
    <t>Balanse, Skillebekk Vel 2018</t>
  </si>
  <si>
    <t>Resultatregnskap, Skillebekk Vel 2018</t>
  </si>
  <si>
    <t>Budsjett 2019</t>
  </si>
  <si>
    <t>Noter, Skillebekk Vel 2018</t>
  </si>
  <si>
    <t>Budsjett (350,-)</t>
  </si>
  <si>
    <t>Virkelig  (350,-)</t>
  </si>
  <si>
    <t>Budsjett for 2019</t>
  </si>
  <si>
    <t>Ingen prosjekter</t>
  </si>
  <si>
    <t>Plen klipp ballplass m.v.</t>
  </si>
  <si>
    <t>Sommerfest/Oktoberfest o.l.</t>
  </si>
  <si>
    <t>Avgift til grunneier for området på øst-siden av Svarttjern ble betalt i 2009 og gjelder for 10 år. Forfall, 2019. Usikkert anslag.</t>
  </si>
  <si>
    <t>Note 1 - Medlemskontigenter 2018</t>
  </si>
  <si>
    <t>Trenings- og aktivitetspark (Tuftepark) kr 100.000,- avsatt 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</si>
</sst>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0_ ;\-0\ "/>
  </numFmts>
  <fonts count="7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6"/>
      <name val="Arial"/>
      <family val="2"/>
    </font>
    <font>
      <sz val="8"/>
      <color indexed="53"/>
      <name val="Arial"/>
      <family val="2"/>
    </font>
    <font>
      <b/>
      <sz val="16"/>
      <color indexed="18"/>
      <name val="Comic Sans MS"/>
      <family val="4"/>
    </font>
    <font>
      <sz val="12"/>
      <color indexed="9"/>
      <name val="Comic Sans MS"/>
      <family val="4"/>
    </font>
    <font>
      <b/>
      <sz val="10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sz val="10"/>
      <color rgb="FF002060"/>
      <name val="Arial"/>
      <family val="2"/>
    </font>
    <font>
      <u val="double"/>
      <sz val="10"/>
      <name val="Arial"/>
      <family val="2"/>
    </font>
    <font>
      <b/>
      <u val="double"/>
      <sz val="10"/>
      <color indexed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omic Sans MS"/>
      <family val="4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i/>
      <sz val="11"/>
      <name val="Arial"/>
      <family val="2"/>
    </font>
    <font>
      <b/>
      <sz val="12"/>
      <color indexed="81"/>
      <name val="Calibri"/>
      <family val="2"/>
    </font>
    <font>
      <sz val="12"/>
      <color indexed="81"/>
      <name val="Calibri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color indexed="81"/>
      <name val="Calibri (Brødtekst)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22"/>
      <name val="Arial"/>
      <family val="2"/>
    </font>
    <font>
      <b/>
      <sz val="24"/>
      <color theme="4" tint="-0.249977111117893"/>
      <name val="Comic Sans MS"/>
      <family val="4"/>
    </font>
    <font>
      <sz val="11"/>
      <color rgb="FF00206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0"/>
      <color rgb="FFFF0000"/>
      <name val="Arial"/>
      <family val="2"/>
    </font>
    <font>
      <b/>
      <sz val="10"/>
      <color rgb="FF000000"/>
      <name val="Tahoma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1"/>
      <color theme="0"/>
      <name val="Comic Sans MS"/>
      <family val="4"/>
    </font>
    <font>
      <sz val="12"/>
      <color theme="0"/>
      <name val="Comic Sans MS"/>
      <family val="4"/>
    </font>
    <font>
      <u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Comic Sans MS"/>
      <family val="4"/>
    </font>
    <font>
      <b/>
      <sz val="8"/>
      <name val="Comic Sans MS"/>
      <family val="4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59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1" xfId="0" applyFont="1" applyBorder="1" applyAlignme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Fill="1" applyBorder="1"/>
    <xf numFmtId="0" fontId="2" fillId="0" borderId="17" xfId="0" applyFont="1" applyBorder="1"/>
    <xf numFmtId="0" fontId="3" fillId="0" borderId="17" xfId="0" applyFont="1" applyBorder="1"/>
    <xf numFmtId="43" fontId="2" fillId="0" borderId="17" xfId="0" applyNumberFormat="1" applyFont="1" applyBorder="1"/>
    <xf numFmtId="43" fontId="3" fillId="0" borderId="17" xfId="0" applyNumberFormat="1" applyFont="1" applyBorder="1"/>
    <xf numFmtId="164" fontId="2" fillId="0" borderId="0" xfId="0" applyNumberFormat="1" applyFont="1"/>
    <xf numFmtId="14" fontId="0" fillId="0" borderId="0" xfId="0" applyNumberFormat="1"/>
    <xf numFmtId="16" fontId="0" fillId="0" borderId="0" xfId="0" applyNumberFormat="1"/>
    <xf numFmtId="0" fontId="0" fillId="0" borderId="9" xfId="0" applyBorder="1"/>
    <xf numFmtId="0" fontId="3" fillId="0" borderId="17" xfId="0" applyFont="1" applyBorder="1" applyAlignment="1">
      <alignment wrapText="1"/>
    </xf>
    <xf numFmtId="0" fontId="0" fillId="0" borderId="18" xfId="0" applyBorder="1"/>
    <xf numFmtId="0" fontId="0" fillId="0" borderId="17" xfId="0" applyBorder="1"/>
    <xf numFmtId="0" fontId="2" fillId="0" borderId="18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/>
    <xf numFmtId="0" fontId="4" fillId="0" borderId="0" xfId="0" applyFont="1" applyFill="1" applyBorder="1"/>
    <xf numFmtId="43" fontId="0" fillId="0" borderId="0" xfId="0" applyNumberFormat="1"/>
    <xf numFmtId="43" fontId="0" fillId="0" borderId="17" xfId="0" applyNumberFormat="1" applyBorder="1"/>
    <xf numFmtId="164" fontId="0" fillId="0" borderId="0" xfId="0" applyNumberFormat="1"/>
    <xf numFmtId="164" fontId="0" fillId="0" borderId="17" xfId="0" applyNumberFormat="1" applyBorder="1"/>
    <xf numFmtId="0" fontId="3" fillId="0" borderId="0" xfId="0" applyFont="1" applyBorder="1" applyAlignment="1">
      <alignment wrapText="1"/>
    </xf>
    <xf numFmtId="0" fontId="2" fillId="0" borderId="4" xfId="0" applyFont="1" applyFill="1" applyBorder="1"/>
    <xf numFmtId="0" fontId="2" fillId="0" borderId="0" xfId="0" applyFont="1" applyFill="1"/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Alignment="1">
      <alignment horizontal="center"/>
    </xf>
    <xf numFmtId="0" fontId="3" fillId="0" borderId="7" xfId="0" applyFont="1" applyFill="1" applyBorder="1"/>
    <xf numFmtId="0" fontId="2" fillId="0" borderId="21" xfId="0" applyFont="1" applyBorder="1"/>
    <xf numFmtId="0" fontId="3" fillId="0" borderId="13" xfId="0" applyFont="1" applyFill="1" applyBorder="1"/>
    <xf numFmtId="0" fontId="2" fillId="0" borderId="13" xfId="0" applyFont="1" applyFill="1" applyBorder="1"/>
    <xf numFmtId="43" fontId="2" fillId="0" borderId="13" xfId="0" applyNumberFormat="1" applyFont="1" applyBorder="1"/>
    <xf numFmtId="43" fontId="3" fillId="0" borderId="14" xfId="0" applyNumberFormat="1" applyFont="1" applyFill="1" applyBorder="1"/>
    <xf numFmtId="43" fontId="3" fillId="0" borderId="13" xfId="0" applyNumberFormat="1" applyFont="1" applyFill="1" applyBorder="1"/>
    <xf numFmtId="43" fontId="3" fillId="0" borderId="14" xfId="0" applyNumberFormat="1" applyFont="1" applyBorder="1"/>
    <xf numFmtId="0" fontId="3" fillId="0" borderId="15" xfId="0" applyFont="1" applyBorder="1"/>
    <xf numFmtId="164" fontId="3" fillId="0" borderId="13" xfId="0" applyNumberFormat="1" applyFont="1" applyFill="1" applyBorder="1"/>
    <xf numFmtId="164" fontId="2" fillId="0" borderId="13" xfId="0" applyNumberFormat="1" applyFont="1" applyBorder="1"/>
    <xf numFmtId="14" fontId="2" fillId="0" borderId="0" xfId="0" applyNumberFormat="1" applyFont="1"/>
    <xf numFmtId="0" fontId="2" fillId="0" borderId="0" xfId="0" applyFont="1" applyFill="1" applyBorder="1"/>
    <xf numFmtId="43" fontId="2" fillId="0" borderId="0" xfId="0" applyNumberFormat="1" applyFont="1"/>
    <xf numFmtId="14" fontId="4" fillId="0" borderId="0" xfId="0" quotePrefix="1" applyNumberFormat="1" applyFont="1" applyBorder="1" applyAlignment="1">
      <alignment horizontal="center"/>
    </xf>
    <xf numFmtId="3" fontId="5" fillId="0" borderId="0" xfId="0" applyNumberFormat="1" applyFont="1" applyBorder="1"/>
    <xf numFmtId="3" fontId="4" fillId="0" borderId="0" xfId="0" applyNumberFormat="1" applyFont="1" applyBorder="1"/>
    <xf numFmtId="43" fontId="0" fillId="0" borderId="0" xfId="0" applyNumberFormat="1" applyBorder="1"/>
    <xf numFmtId="0" fontId="6" fillId="0" borderId="0" xfId="0" applyFont="1" applyBorder="1"/>
    <xf numFmtId="0" fontId="4" fillId="0" borderId="17" xfId="0" applyFont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164" fontId="0" fillId="0" borderId="0" xfId="0" applyNumberFormat="1" applyBorder="1"/>
    <xf numFmtId="43" fontId="5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3" fontId="0" fillId="0" borderId="0" xfId="0" applyNumberFormat="1"/>
    <xf numFmtId="3" fontId="0" fillId="0" borderId="17" xfId="0" applyNumberFormat="1" applyBorder="1"/>
    <xf numFmtId="0" fontId="5" fillId="0" borderId="0" xfId="0" applyFont="1"/>
    <xf numFmtId="164" fontId="0" fillId="0" borderId="0" xfId="1" applyFont="1"/>
    <xf numFmtId="2" fontId="0" fillId="0" borderId="0" xfId="0" applyNumberFormat="1"/>
    <xf numFmtId="0" fontId="8" fillId="0" borderId="0" xfId="0" applyFont="1"/>
    <xf numFmtId="2" fontId="4" fillId="0" borderId="0" xfId="0" applyNumberFormat="1" applyFont="1" applyBorder="1"/>
    <xf numFmtId="2" fontId="5" fillId="0" borderId="0" xfId="0" applyNumberFormat="1" applyFont="1" applyBorder="1"/>
    <xf numFmtId="0" fontId="3" fillId="2" borderId="17" xfId="0" applyFont="1" applyFill="1" applyBorder="1"/>
    <xf numFmtId="43" fontId="2" fillId="0" borderId="17" xfId="0" applyNumberFormat="1" applyFont="1" applyFill="1" applyBorder="1"/>
    <xf numFmtId="0" fontId="0" fillId="0" borderId="0" xfId="0" applyFill="1"/>
    <xf numFmtId="0" fontId="2" fillId="2" borderId="0" xfId="0" applyFont="1" applyFill="1" applyBorder="1"/>
    <xf numFmtId="164" fontId="3" fillId="2" borderId="17" xfId="0" applyNumberFormat="1" applyFont="1" applyFill="1" applyBorder="1"/>
    <xf numFmtId="0" fontId="6" fillId="0" borderId="0" xfId="0" applyFont="1"/>
    <xf numFmtId="2" fontId="4" fillId="0" borderId="0" xfId="0" applyNumberFormat="1" applyFont="1"/>
    <xf numFmtId="3" fontId="4" fillId="0" borderId="17" xfId="0" applyNumberFormat="1" applyFont="1" applyBorder="1"/>
    <xf numFmtId="3" fontId="0" fillId="0" borderId="0" xfId="0" applyNumberFormat="1" applyFill="1"/>
    <xf numFmtId="3" fontId="0" fillId="0" borderId="0" xfId="0" applyNumberFormat="1" applyBorder="1"/>
    <xf numFmtId="3" fontId="1" fillId="0" borderId="0" xfId="0" applyNumberFormat="1" applyFont="1" applyFill="1"/>
    <xf numFmtId="3" fontId="5" fillId="0" borderId="0" xfId="0" applyNumberFormat="1" applyFont="1" applyFill="1" applyBorder="1"/>
    <xf numFmtId="3" fontId="0" fillId="0" borderId="0" xfId="0" applyNumberFormat="1" applyFill="1" applyBorder="1"/>
    <xf numFmtId="3" fontId="4" fillId="0" borderId="22" xfId="0" applyNumberFormat="1" applyFont="1" applyBorder="1"/>
    <xf numFmtId="0" fontId="2" fillId="0" borderId="9" xfId="0" applyFont="1" applyFill="1" applyBorder="1"/>
    <xf numFmtId="0" fontId="2" fillId="0" borderId="18" xfId="0" applyFont="1" applyFill="1" applyBorder="1"/>
    <xf numFmtId="0" fontId="11" fillId="0" borderId="0" xfId="0" applyFont="1" applyFill="1"/>
    <xf numFmtId="164" fontId="11" fillId="0" borderId="0" xfId="0" applyNumberFormat="1" applyFont="1" applyFill="1"/>
    <xf numFmtId="164" fontId="11" fillId="0" borderId="0" xfId="0" applyNumberFormat="1" applyFont="1" applyFill="1" applyBorder="1"/>
    <xf numFmtId="0" fontId="11" fillId="0" borderId="9" xfId="0" applyFont="1" applyFill="1" applyBorder="1"/>
    <xf numFmtId="0" fontId="11" fillId="0" borderId="17" xfId="0" applyFont="1" applyFill="1" applyBorder="1"/>
    <xf numFmtId="0" fontId="2" fillId="0" borderId="17" xfId="0" applyFont="1" applyFill="1" applyBorder="1" applyAlignment="1">
      <alignment wrapText="1"/>
    </xf>
    <xf numFmtId="0" fontId="11" fillId="0" borderId="18" xfId="0" applyFont="1" applyFill="1" applyBorder="1"/>
    <xf numFmtId="0" fontId="0" fillId="3" borderId="0" xfId="0" applyFill="1"/>
    <xf numFmtId="164" fontId="2" fillId="0" borderId="17" xfId="0" applyNumberFormat="1" applyFont="1" applyFill="1" applyBorder="1"/>
    <xf numFmtId="43" fontId="2" fillId="0" borderId="0" xfId="0" applyNumberFormat="1" applyFont="1" applyFill="1"/>
    <xf numFmtId="164" fontId="2" fillId="0" borderId="0" xfId="0" applyNumberFormat="1" applyFont="1" applyFill="1"/>
    <xf numFmtId="3" fontId="4" fillId="0" borderId="0" xfId="0" quotePrefix="1" applyNumberFormat="1" applyFont="1" applyAlignment="1">
      <alignment horizontal="center"/>
    </xf>
    <xf numFmtId="4" fontId="0" fillId="0" borderId="0" xfId="0" applyNumberFormat="1"/>
    <xf numFmtId="4" fontId="5" fillId="0" borderId="0" xfId="0" applyNumberFormat="1" applyFont="1" applyBorder="1"/>
    <xf numFmtId="4" fontId="4" fillId="0" borderId="17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quotePrefix="1" applyNumberFormat="1" applyFont="1" applyFill="1" applyAlignment="1">
      <alignment horizontal="right"/>
    </xf>
    <xf numFmtId="4" fontId="0" fillId="0" borderId="0" xfId="0" applyNumberFormat="1" applyFill="1"/>
    <xf numFmtId="2" fontId="4" fillId="0" borderId="23" xfId="0" applyNumberFormat="1" applyFont="1" applyBorder="1"/>
    <xf numFmtId="0" fontId="12" fillId="0" borderId="3" xfId="0" applyFont="1" applyBorder="1"/>
    <xf numFmtId="0" fontId="0" fillId="0" borderId="3" xfId="0" applyBorder="1"/>
    <xf numFmtId="0" fontId="0" fillId="0" borderId="24" xfId="0" applyBorder="1"/>
    <xf numFmtId="0" fontId="13" fillId="4" borderId="3" xfId="0" applyFont="1" applyFill="1" applyBorder="1"/>
    <xf numFmtId="0" fontId="13" fillId="4" borderId="3" xfId="0" applyFont="1" applyFill="1" applyBorder="1" applyAlignment="1">
      <alignment horizontal="left"/>
    </xf>
    <xf numFmtId="0" fontId="13" fillId="4" borderId="24" xfId="0" applyFont="1" applyFill="1" applyBorder="1"/>
    <xf numFmtId="0" fontId="13" fillId="4" borderId="3" xfId="0" applyFont="1" applyFill="1" applyBorder="1" applyAlignment="1"/>
    <xf numFmtId="0" fontId="2" fillId="0" borderId="24" xfId="0" applyFont="1" applyBorder="1"/>
    <xf numFmtId="0" fontId="2" fillId="0" borderId="3" xfId="0" applyFont="1" applyFill="1" applyBorder="1"/>
    <xf numFmtId="4" fontId="3" fillId="2" borderId="3" xfId="0" applyNumberFormat="1" applyFont="1" applyFill="1" applyBorder="1"/>
    <xf numFmtId="4" fontId="2" fillId="0" borderId="3" xfId="0" applyNumberFormat="1" applyFont="1" applyFill="1" applyBorder="1"/>
    <xf numFmtId="4" fontId="2" fillId="0" borderId="24" xfId="0" applyNumberFormat="1" applyFont="1" applyFill="1" applyBorder="1"/>
    <xf numFmtId="4" fontId="2" fillId="0" borderId="3" xfId="0" applyNumberFormat="1" applyFont="1" applyBorder="1"/>
    <xf numFmtId="14" fontId="1" fillId="0" borderId="3" xfId="0" applyNumberFormat="1" applyFont="1" applyFill="1" applyBorder="1"/>
    <xf numFmtId="4" fontId="2" fillId="0" borderId="3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164" fontId="1" fillId="0" borderId="0" xfId="0" applyNumberFormat="1" applyFont="1" applyBorder="1"/>
    <xf numFmtId="16" fontId="1" fillId="0" borderId="3" xfId="0" quotePrefix="1" applyNumberFormat="1" applyFont="1" applyFill="1" applyBorder="1"/>
    <xf numFmtId="14" fontId="1" fillId="0" borderId="3" xfId="0" quotePrefix="1" applyNumberFormat="1" applyFont="1" applyFill="1" applyBorder="1"/>
    <xf numFmtId="0" fontId="1" fillId="0" borderId="0" xfId="0" applyFont="1" applyFill="1"/>
    <xf numFmtId="4" fontId="2" fillId="0" borderId="0" xfId="0" applyNumberFormat="1" applyFont="1" applyFill="1"/>
    <xf numFmtId="4" fontId="2" fillId="0" borderId="17" xfId="0" applyNumberFormat="1" applyFont="1" applyFill="1" applyBorder="1"/>
    <xf numFmtId="4" fontId="2" fillId="0" borderId="17" xfId="0" applyNumberFormat="1" applyFont="1" applyFill="1" applyBorder="1" applyAlignment="1">
      <alignment wrapText="1"/>
    </xf>
    <xf numFmtId="0" fontId="13" fillId="4" borderId="25" xfId="0" applyFont="1" applyFill="1" applyBorder="1" applyAlignment="1"/>
    <xf numFmtId="164" fontId="0" fillId="2" borderId="0" xfId="0" applyNumberFormat="1" applyFill="1"/>
    <xf numFmtId="4" fontId="3" fillId="0" borderId="3" xfId="0" applyNumberFormat="1" applyFont="1" applyFill="1" applyBorder="1" applyAlignment="1">
      <alignment horizontal="right"/>
    </xf>
    <xf numFmtId="0" fontId="14" fillId="0" borderId="0" xfId="0" applyFont="1"/>
    <xf numFmtId="0" fontId="15" fillId="5" borderId="0" xfId="0" applyFont="1" applyFill="1"/>
    <xf numFmtId="0" fontId="15" fillId="5" borderId="0" xfId="0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9" fontId="16" fillId="0" borderId="0" xfId="0" applyNumberFormat="1" applyFont="1" applyAlignment="1">
      <alignment horizontal="center"/>
    </xf>
    <xf numFmtId="165" fontId="16" fillId="0" borderId="0" xfId="0" applyNumberFormat="1" applyFont="1"/>
    <xf numFmtId="9" fontId="16" fillId="0" borderId="23" xfId="0" applyNumberFormat="1" applyFont="1" applyBorder="1" applyAlignment="1">
      <alignment horizontal="center"/>
    </xf>
    <xf numFmtId="0" fontId="7" fillId="0" borderId="23" xfId="0" applyFont="1" applyFill="1" applyBorder="1"/>
    <xf numFmtId="3" fontId="16" fillId="0" borderId="0" xfId="0" applyNumberFormat="1" applyFont="1"/>
    <xf numFmtId="3" fontId="16" fillId="0" borderId="23" xfId="0" applyNumberFormat="1" applyFont="1" applyBorder="1"/>
    <xf numFmtId="0" fontId="17" fillId="0" borderId="17" xfId="0" applyFont="1" applyFill="1" applyBorder="1"/>
    <xf numFmtId="0" fontId="17" fillId="0" borderId="0" xfId="0" applyFont="1" applyFill="1" applyBorder="1"/>
    <xf numFmtId="4" fontId="17" fillId="0" borderId="0" xfId="0" applyNumberFormat="1" applyFont="1"/>
    <xf numFmtId="3" fontId="16" fillId="0" borderId="0" xfId="0" applyNumberFormat="1" applyFont="1" applyBorder="1"/>
    <xf numFmtId="0" fontId="13" fillId="6" borderId="3" xfId="0" applyFont="1" applyFill="1" applyBorder="1"/>
    <xf numFmtId="14" fontId="0" fillId="0" borderId="3" xfId="0" quotePrefix="1" applyNumberFormat="1" applyBorder="1"/>
    <xf numFmtId="14" fontId="0" fillId="0" borderId="3" xfId="0" applyNumberFormat="1" applyBorder="1"/>
    <xf numFmtId="0" fontId="17" fillId="0" borderId="3" xfId="0" applyFont="1" applyBorder="1"/>
    <xf numFmtId="0" fontId="17" fillId="0" borderId="3" xfId="0" applyFont="1" applyFill="1" applyBorder="1"/>
    <xf numFmtId="4" fontId="17" fillId="0" borderId="3" xfId="0" applyNumberFormat="1" applyFont="1" applyFill="1" applyBorder="1" applyAlignment="1">
      <alignment horizontal="right"/>
    </xf>
    <xf numFmtId="4" fontId="20" fillId="0" borderId="3" xfId="0" applyNumberFormat="1" applyFont="1" applyFill="1" applyBorder="1" applyAlignment="1">
      <alignment horizontal="right"/>
    </xf>
    <xf numFmtId="4" fontId="17" fillId="0" borderId="3" xfId="0" applyNumberFormat="1" applyFont="1" applyFill="1" applyBorder="1"/>
    <xf numFmtId="4" fontId="17" fillId="0" borderId="24" xfId="0" applyNumberFormat="1" applyFont="1" applyFill="1" applyBorder="1"/>
    <xf numFmtId="14" fontId="5" fillId="0" borderId="3" xfId="0" applyNumberFormat="1" applyFont="1" applyFill="1" applyBorder="1"/>
    <xf numFmtId="4" fontId="2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164" fontId="21" fillId="2" borderId="0" xfId="0" applyNumberFormat="1" applyFont="1" applyFill="1"/>
    <xf numFmtId="3" fontId="4" fillId="0" borderId="23" xfId="0" applyNumberFormat="1" applyFont="1" applyBorder="1"/>
    <xf numFmtId="4" fontId="4" fillId="0" borderId="23" xfId="0" applyNumberFormat="1" applyFont="1" applyBorder="1"/>
    <xf numFmtId="0" fontId="22" fillId="0" borderId="0" xfId="0" applyFont="1"/>
    <xf numFmtId="14" fontId="11" fillId="0" borderId="3" xfId="0" applyNumberFormat="1" applyFont="1" applyFill="1" applyBorder="1"/>
    <xf numFmtId="3" fontId="16" fillId="0" borderId="0" xfId="0" applyNumberFormat="1" applyFont="1" applyAlignment="1">
      <alignment horizontal="center"/>
    </xf>
    <xf numFmtId="0" fontId="23" fillId="6" borderId="3" xfId="0" applyFont="1" applyFill="1" applyBorder="1"/>
    <xf numFmtId="0" fontId="23" fillId="4" borderId="3" xfId="0" applyFont="1" applyFill="1" applyBorder="1"/>
    <xf numFmtId="0" fontId="23" fillId="4" borderId="24" xfId="0" applyFont="1" applyFill="1" applyBorder="1"/>
    <xf numFmtId="0" fontId="23" fillId="4" borderId="25" xfId="0" applyFont="1" applyFill="1" applyBorder="1" applyAlignment="1"/>
    <xf numFmtId="0" fontId="23" fillId="4" borderId="3" xfId="0" applyFont="1" applyFill="1" applyBorder="1" applyAlignment="1"/>
    <xf numFmtId="0" fontId="5" fillId="0" borderId="3" xfId="0" applyFont="1" applyBorder="1"/>
    <xf numFmtId="0" fontId="5" fillId="0" borderId="24" xfId="0" applyFont="1" applyBorder="1"/>
    <xf numFmtId="14" fontId="5" fillId="0" borderId="3" xfId="0" applyNumberFormat="1" applyFont="1" applyBorder="1"/>
    <xf numFmtId="0" fontId="5" fillId="0" borderId="3" xfId="0" applyFont="1" applyFill="1" applyBorder="1"/>
    <xf numFmtId="4" fontId="21" fillId="2" borderId="3" xfId="0" applyNumberFormat="1" applyFont="1" applyFill="1" applyBorder="1"/>
    <xf numFmtId="4" fontId="5" fillId="0" borderId="3" xfId="0" applyNumberFormat="1" applyFont="1" applyFill="1" applyBorder="1"/>
    <xf numFmtId="4" fontId="5" fillId="0" borderId="24" xfId="0" applyNumberFormat="1" applyFont="1" applyFill="1" applyBorder="1"/>
    <xf numFmtId="4" fontId="5" fillId="0" borderId="3" xfId="0" applyNumberFormat="1" applyFont="1" applyBorder="1"/>
    <xf numFmtId="4" fontId="5" fillId="0" borderId="0" xfId="0" applyNumberFormat="1" applyFont="1"/>
    <xf numFmtId="164" fontId="5" fillId="0" borderId="0" xfId="0" applyNumberFormat="1" applyFont="1"/>
    <xf numFmtId="4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4" xfId="0" applyNumberFormat="1" applyFont="1" applyBorder="1"/>
    <xf numFmtId="4" fontId="5" fillId="0" borderId="17" xfId="0" applyNumberFormat="1" applyFont="1" applyBorder="1"/>
    <xf numFmtId="0" fontId="4" fillId="0" borderId="23" xfId="0" applyFont="1" applyBorder="1"/>
    <xf numFmtId="0" fontId="8" fillId="0" borderId="23" xfId="0" applyFont="1" applyBorder="1"/>
    <xf numFmtId="3" fontId="8" fillId="0" borderId="0" xfId="0" applyNumberFormat="1" applyFont="1"/>
    <xf numFmtId="0" fontId="5" fillId="9" borderId="0" xfId="0" applyFont="1" applyFill="1"/>
    <xf numFmtId="4" fontId="5" fillId="9" borderId="0" xfId="0" applyNumberFormat="1" applyFont="1" applyFill="1"/>
    <xf numFmtId="0" fontId="5" fillId="9" borderId="17" xfId="0" applyFont="1" applyFill="1" applyBorder="1"/>
    <xf numFmtId="4" fontId="5" fillId="9" borderId="17" xfId="0" applyNumberFormat="1" applyFont="1" applyFill="1" applyBorder="1"/>
    <xf numFmtId="4" fontId="5" fillId="9" borderId="17" xfId="0" applyNumberFormat="1" applyFont="1" applyFill="1" applyBorder="1" applyAlignment="1">
      <alignment wrapText="1"/>
    </xf>
    <xf numFmtId="0" fontId="5" fillId="9" borderId="0" xfId="0" applyFont="1" applyFill="1" applyBorder="1"/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0" fontId="5" fillId="0" borderId="24" xfId="0" applyFont="1" applyFill="1" applyBorder="1"/>
    <xf numFmtId="4" fontId="5" fillId="0" borderId="26" xfId="0" applyNumberFormat="1" applyFont="1" applyBorder="1"/>
    <xf numFmtId="4" fontId="5" fillId="0" borderId="27" xfId="0" applyNumberFormat="1" applyFont="1" applyBorder="1"/>
    <xf numFmtId="4" fontId="5" fillId="0" borderId="26" xfId="0" applyNumberFormat="1" applyFont="1" applyFill="1" applyBorder="1" applyAlignment="1">
      <alignment horizontal="right"/>
    </xf>
    <xf numFmtId="4" fontId="5" fillId="0" borderId="27" xfId="0" applyNumberFormat="1" applyFont="1" applyFill="1" applyBorder="1" applyAlignment="1">
      <alignment horizontal="right"/>
    </xf>
    <xf numFmtId="4" fontId="5" fillId="9" borderId="28" xfId="0" applyNumberFormat="1" applyFont="1" applyFill="1" applyBorder="1"/>
    <xf numFmtId="4" fontId="5" fillId="9" borderId="29" xfId="0" applyNumberFormat="1" applyFont="1" applyFill="1" applyBorder="1"/>
    <xf numFmtId="4" fontId="5" fillId="9" borderId="26" xfId="0" applyNumberFormat="1" applyFont="1" applyFill="1" applyBorder="1"/>
    <xf numFmtId="4" fontId="5" fillId="9" borderId="27" xfId="0" applyNumberFormat="1" applyFont="1" applyFill="1" applyBorder="1"/>
    <xf numFmtId="4" fontId="5" fillId="9" borderId="26" xfId="0" applyNumberFormat="1" applyFont="1" applyFill="1" applyBorder="1" applyAlignment="1">
      <alignment wrapText="1"/>
    </xf>
    <xf numFmtId="4" fontId="5" fillId="9" borderId="27" xfId="0" applyNumberFormat="1" applyFont="1" applyFill="1" applyBorder="1" applyAlignment="1">
      <alignment wrapText="1"/>
    </xf>
    <xf numFmtId="0" fontId="22" fillId="0" borderId="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24" fillId="6" borderId="3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4" fontId="5" fillId="0" borderId="34" xfId="0" applyNumberFormat="1" applyFont="1" applyBorder="1"/>
    <xf numFmtId="14" fontId="5" fillId="0" borderId="34" xfId="0" applyNumberFormat="1" applyFont="1" applyFill="1" applyBorder="1"/>
    <xf numFmtId="0" fontId="5" fillId="9" borderId="35" xfId="0" applyFont="1" applyFill="1" applyBorder="1"/>
    <xf numFmtId="0" fontId="5" fillId="9" borderId="36" xfId="0" applyFont="1" applyFill="1" applyBorder="1"/>
    <xf numFmtId="0" fontId="5" fillId="9" borderId="37" xfId="0" applyFont="1" applyFill="1" applyBorder="1"/>
    <xf numFmtId="4" fontId="5" fillId="9" borderId="38" xfId="0" applyNumberFormat="1" applyFont="1" applyFill="1" applyBorder="1" applyAlignment="1">
      <alignment wrapText="1"/>
    </xf>
    <xf numFmtId="4" fontId="5" fillId="9" borderId="39" xfId="0" applyNumberFormat="1" applyFont="1" applyFill="1" applyBorder="1" applyAlignment="1">
      <alignment wrapText="1"/>
    </xf>
    <xf numFmtId="0" fontId="24" fillId="4" borderId="40" xfId="0" applyFont="1" applyFill="1" applyBorder="1" applyAlignment="1"/>
    <xf numFmtId="0" fontId="24" fillId="7" borderId="41" xfId="0" applyFont="1" applyFill="1" applyBorder="1" applyAlignment="1">
      <alignment vertical="center"/>
    </xf>
    <xf numFmtId="0" fontId="24" fillId="8" borderId="42" xfId="0" applyFont="1" applyFill="1" applyBorder="1" applyAlignment="1">
      <alignment vertical="center"/>
    </xf>
    <xf numFmtId="4" fontId="4" fillId="0" borderId="0" xfId="0" applyNumberFormat="1" applyFont="1"/>
    <xf numFmtId="164" fontId="4" fillId="0" borderId="0" xfId="0" applyNumberFormat="1" applyFont="1"/>
    <xf numFmtId="4" fontId="5" fillId="10" borderId="28" xfId="0" applyNumberFormat="1" applyFont="1" applyFill="1" applyBorder="1"/>
    <xf numFmtId="4" fontId="5" fillId="10" borderId="29" xfId="0" applyNumberFormat="1" applyFont="1" applyFill="1" applyBorder="1"/>
    <xf numFmtId="14" fontId="4" fillId="11" borderId="34" xfId="0" applyNumberFormat="1" applyFont="1" applyFill="1" applyBorder="1"/>
    <xf numFmtId="0" fontId="4" fillId="11" borderId="3" xfId="0" applyFont="1" applyFill="1" applyBorder="1"/>
    <xf numFmtId="0" fontId="4" fillId="11" borderId="24" xfId="0" applyFont="1" applyFill="1" applyBorder="1"/>
    <xf numFmtId="4" fontId="4" fillId="11" borderId="26" xfId="0" applyNumberFormat="1" applyFont="1" applyFill="1" applyBorder="1"/>
    <xf numFmtId="4" fontId="4" fillId="11" borderId="27" xfId="0" applyNumberFormat="1" applyFont="1" applyFill="1" applyBorder="1"/>
    <xf numFmtId="0" fontId="24" fillId="11" borderId="19" xfId="0" applyFont="1" applyFill="1" applyBorder="1" applyAlignment="1">
      <alignment horizontal="center" vertical="center"/>
    </xf>
    <xf numFmtId="0" fontId="5" fillId="0" borderId="47" xfId="0" applyFont="1" applyFill="1" applyBorder="1"/>
    <xf numFmtId="0" fontId="25" fillId="0" borderId="0" xfId="0" applyFont="1"/>
    <xf numFmtId="0" fontId="26" fillId="0" borderId="23" xfId="0" applyFont="1" applyBorder="1"/>
    <xf numFmtId="0" fontId="27" fillId="0" borderId="0" xfId="0" applyFont="1"/>
    <xf numFmtId="0" fontId="0" fillId="0" borderId="3" xfId="0" applyFont="1" applyFill="1" applyBorder="1"/>
    <xf numFmtId="4" fontId="0" fillId="0" borderId="26" xfId="0" applyNumberFormat="1" applyFont="1" applyBorder="1"/>
    <xf numFmtId="4" fontId="0" fillId="0" borderId="27" xfId="0" applyNumberFormat="1" applyFont="1" applyBorder="1"/>
    <xf numFmtId="14" fontId="0" fillId="0" borderId="34" xfId="0" applyNumberFormat="1" applyFont="1" applyBorder="1"/>
    <xf numFmtId="14" fontId="0" fillId="0" borderId="34" xfId="0" applyNumberFormat="1" applyFont="1" applyFill="1" applyBorder="1"/>
    <xf numFmtId="0" fontId="0" fillId="0" borderId="3" xfId="0" applyFont="1" applyBorder="1"/>
    <xf numFmtId="2" fontId="0" fillId="0" borderId="26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/>
    <xf numFmtId="0" fontId="0" fillId="0" borderId="23" xfId="0" applyBorder="1"/>
    <xf numFmtId="0" fontId="0" fillId="0" borderId="0" xfId="0" applyFont="1" applyBorder="1"/>
    <xf numFmtId="0" fontId="0" fillId="0" borderId="22" xfId="0" applyFont="1" applyBorder="1"/>
    <xf numFmtId="0" fontId="0" fillId="0" borderId="22" xfId="0" applyBorder="1"/>
    <xf numFmtId="0" fontId="4" fillId="0" borderId="23" xfId="0" applyFont="1" applyFill="1" applyBorder="1"/>
    <xf numFmtId="0" fontId="0" fillId="0" borderId="0" xfId="0" applyFill="1" applyBorder="1"/>
    <xf numFmtId="4" fontId="2" fillId="0" borderId="0" xfId="0" applyNumberFormat="1" applyFont="1"/>
    <xf numFmtId="0" fontId="0" fillId="0" borderId="3" xfId="0" applyFill="1" applyBorder="1"/>
    <xf numFmtId="4" fontId="0" fillId="0" borderId="26" xfId="0" applyNumberFormat="1" applyFont="1" applyFill="1" applyBorder="1" applyAlignment="1">
      <alignment horizontal="right"/>
    </xf>
    <xf numFmtId="0" fontId="1" fillId="9" borderId="37" xfId="0" applyFont="1" applyFill="1" applyBorder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left" indent="1"/>
    </xf>
    <xf numFmtId="0" fontId="30" fillId="0" borderId="0" xfId="0" applyFont="1"/>
    <xf numFmtId="0" fontId="1" fillId="0" borderId="3" xfId="0" applyFont="1" applyFill="1" applyBorder="1"/>
    <xf numFmtId="3" fontId="16" fillId="0" borderId="17" xfId="0" applyNumberFormat="1" applyFont="1" applyBorder="1"/>
    <xf numFmtId="3" fontId="16" fillId="0" borderId="18" xfId="0" applyNumberFormat="1" applyFont="1" applyBorder="1"/>
    <xf numFmtId="9" fontId="0" fillId="0" borderId="0" xfId="14" applyFont="1"/>
    <xf numFmtId="0" fontId="1" fillId="0" borderId="24" xfId="0" applyFont="1" applyFill="1" applyBorder="1"/>
    <xf numFmtId="0" fontId="1" fillId="0" borderId="24" xfId="0" applyFont="1" applyBorder="1"/>
    <xf numFmtId="0" fontId="4" fillId="0" borderId="23" xfId="0" applyNumberFormat="1" applyFont="1" applyBorder="1"/>
    <xf numFmtId="0" fontId="1" fillId="0" borderId="23" xfId="0" applyFont="1" applyBorder="1"/>
    <xf numFmtId="38" fontId="0" fillId="0" borderId="0" xfId="0" applyNumberFormat="1"/>
    <xf numFmtId="0" fontId="16" fillId="0" borderId="0" xfId="0" applyNumberFormat="1" applyFont="1"/>
    <xf numFmtId="0" fontId="16" fillId="0" borderId="0" xfId="0" applyNumberFormat="1" applyFont="1" applyBorder="1"/>
    <xf numFmtId="0" fontId="1" fillId="0" borderId="18" xfId="0" applyFont="1" applyBorder="1"/>
    <xf numFmtId="3" fontId="0" fillId="0" borderId="18" xfId="0" applyNumberFormat="1" applyBorder="1"/>
    <xf numFmtId="0" fontId="4" fillId="0" borderId="18" xfId="0" applyFont="1" applyBorder="1"/>
    <xf numFmtId="3" fontId="4" fillId="0" borderId="0" xfId="0" applyNumberFormat="1" applyFont="1"/>
    <xf numFmtId="38" fontId="0" fillId="0" borderId="18" xfId="0" applyNumberFormat="1" applyBorder="1"/>
    <xf numFmtId="38" fontId="4" fillId="0" borderId="0" xfId="0" applyNumberFormat="1" applyFont="1"/>
    <xf numFmtId="0" fontId="1" fillId="0" borderId="50" xfId="0" applyFont="1" applyBorder="1"/>
    <xf numFmtId="0" fontId="0" fillId="0" borderId="52" xfId="0" applyBorder="1"/>
    <xf numFmtId="40" fontId="5" fillId="0" borderId="52" xfId="0" applyNumberFormat="1" applyFont="1" applyBorder="1"/>
    <xf numFmtId="0" fontId="1" fillId="0" borderId="36" xfId="0" applyFont="1" applyBorder="1"/>
    <xf numFmtId="40" fontId="5" fillId="0" borderId="9" xfId="0" applyNumberFormat="1" applyFont="1" applyBorder="1"/>
    <xf numFmtId="0" fontId="1" fillId="0" borderId="0" xfId="0" quotePrefix="1" applyFont="1"/>
    <xf numFmtId="0" fontId="1" fillId="0" borderId="0" xfId="0" applyFont="1" applyAlignment="1"/>
    <xf numFmtId="3" fontId="0" fillId="0" borderId="51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0" fontId="32" fillId="0" borderId="23" xfId="0" applyFont="1" applyFill="1" applyBorder="1"/>
    <xf numFmtId="0" fontId="4" fillId="0" borderId="37" xfId="0" applyFont="1" applyBorder="1"/>
    <xf numFmtId="3" fontId="4" fillId="0" borderId="37" xfId="0" applyNumberFormat="1" applyFont="1" applyBorder="1"/>
    <xf numFmtId="3" fontId="0" fillId="10" borderId="0" xfId="0" applyNumberFormat="1" applyFill="1"/>
    <xf numFmtId="3" fontId="0" fillId="10" borderId="18" xfId="0" applyNumberFormat="1" applyFill="1" applyBorder="1"/>
    <xf numFmtId="3" fontId="0" fillId="11" borderId="0" xfId="0" applyNumberFormat="1" applyFill="1"/>
    <xf numFmtId="3" fontId="0" fillId="11" borderId="0" xfId="0" applyNumberFormat="1" applyFill="1" applyBorder="1"/>
    <xf numFmtId="3" fontId="4" fillId="11" borderId="23" xfId="0" applyNumberFormat="1" applyFont="1" applyFill="1" applyBorder="1"/>
    <xf numFmtId="3" fontId="4" fillId="11" borderId="37" xfId="0" applyNumberFormat="1" applyFont="1" applyFill="1" applyBorder="1"/>
    <xf numFmtId="3" fontId="4" fillId="11" borderId="0" xfId="0" applyNumberFormat="1" applyFont="1" applyFill="1"/>
    <xf numFmtId="9" fontId="0" fillId="11" borderId="0" xfId="14" applyFont="1" applyFill="1"/>
    <xf numFmtId="4" fontId="1" fillId="0" borderId="27" xfId="0" applyNumberFormat="1" applyFont="1" applyFill="1" applyBorder="1" applyAlignment="1">
      <alignment horizontal="left"/>
    </xf>
    <xf numFmtId="0" fontId="1" fillId="12" borderId="24" xfId="0" applyFont="1" applyFill="1" applyBorder="1"/>
    <xf numFmtId="4" fontId="5" fillId="0" borderId="54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4" fontId="5" fillId="0" borderId="56" xfId="0" applyNumberFormat="1" applyFont="1" applyFill="1" applyBorder="1" applyAlignment="1">
      <alignment horizontal="right"/>
    </xf>
    <xf numFmtId="4" fontId="5" fillId="0" borderId="57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3" fontId="16" fillId="0" borderId="0" xfId="0" applyNumberFormat="1" applyFont="1" applyFill="1"/>
    <xf numFmtId="0" fontId="0" fillId="0" borderId="58" xfId="0" applyBorder="1"/>
    <xf numFmtId="3" fontId="16" fillId="13" borderId="58" xfId="0" applyNumberFormat="1" applyFont="1" applyFill="1" applyBorder="1"/>
    <xf numFmtId="3" fontId="16" fillId="0" borderId="59" xfId="0" applyNumberFormat="1" applyFont="1" applyBorder="1"/>
    <xf numFmtId="3" fontId="0" fillId="0" borderId="58" xfId="0" applyNumberFormat="1" applyBorder="1"/>
    <xf numFmtId="3" fontId="16" fillId="0" borderId="17" xfId="0" applyNumberFormat="1" applyFont="1" applyFill="1" applyBorder="1"/>
    <xf numFmtId="3" fontId="16" fillId="0" borderId="23" xfId="0" applyNumberFormat="1" applyFont="1" applyFill="1" applyBorder="1"/>
    <xf numFmtId="0" fontId="0" fillId="0" borderId="4" xfId="0" applyBorder="1"/>
    <xf numFmtId="3" fontId="16" fillId="0" borderId="4" xfId="0" applyNumberFormat="1" applyFont="1" applyFill="1" applyBorder="1"/>
    <xf numFmtId="3" fontId="16" fillId="0" borderId="3" xfId="0" applyNumberFormat="1" applyFont="1" applyFill="1" applyBorder="1"/>
    <xf numFmtId="3" fontId="0" fillId="0" borderId="4" xfId="0" applyNumberFormat="1" applyFill="1" applyBorder="1"/>
    <xf numFmtId="3" fontId="16" fillId="0" borderId="60" xfId="0" applyNumberFormat="1" applyFont="1" applyFill="1" applyBorder="1"/>
    <xf numFmtId="3" fontId="16" fillId="0" borderId="3" xfId="0" applyNumberFormat="1" applyFont="1" applyBorder="1"/>
    <xf numFmtId="3" fontId="0" fillId="0" borderId="4" xfId="0" applyNumberFormat="1" applyBorder="1"/>
    <xf numFmtId="0" fontId="15" fillId="5" borderId="1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9" fontId="15" fillId="5" borderId="0" xfId="0" applyNumberFormat="1" applyFont="1" applyFill="1" applyAlignment="1">
      <alignment horizontal="center"/>
    </xf>
    <xf numFmtId="0" fontId="35" fillId="13" borderId="16" xfId="0" applyFont="1" applyFill="1" applyBorder="1" applyAlignment="1">
      <alignment horizontal="center"/>
    </xf>
    <xf numFmtId="3" fontId="16" fillId="0" borderId="60" xfId="0" applyNumberFormat="1" applyFont="1" applyBorder="1"/>
    <xf numFmtId="0" fontId="35" fillId="0" borderId="0" xfId="0" applyFont="1"/>
    <xf numFmtId="0" fontId="30" fillId="13" borderId="0" xfId="0" applyFont="1" applyFill="1"/>
    <xf numFmtId="0" fontId="22" fillId="13" borderId="0" xfId="0" applyFont="1" applyFill="1"/>
    <xf numFmtId="3" fontId="0" fillId="13" borderId="0" xfId="0" applyNumberFormat="1" applyFill="1"/>
    <xf numFmtId="0" fontId="0" fillId="13" borderId="0" xfId="0" applyFill="1"/>
    <xf numFmtId="0" fontId="1" fillId="13" borderId="0" xfId="0" applyFont="1" applyFill="1"/>
    <xf numFmtId="0" fontId="1" fillId="13" borderId="18" xfId="0" applyFont="1" applyFill="1" applyBorder="1"/>
    <xf numFmtId="0" fontId="0" fillId="13" borderId="18" xfId="0" applyFill="1" applyBorder="1"/>
    <xf numFmtId="3" fontId="0" fillId="13" borderId="18" xfId="0" applyNumberFormat="1" applyFill="1" applyBorder="1"/>
    <xf numFmtId="0" fontId="4" fillId="13" borderId="0" xfId="0" applyFont="1" applyFill="1"/>
    <xf numFmtId="3" fontId="4" fillId="13" borderId="0" xfId="0" applyNumberFormat="1" applyFont="1" applyFill="1"/>
    <xf numFmtId="0" fontId="4" fillId="13" borderId="18" xfId="0" applyFont="1" applyFill="1" applyBorder="1"/>
    <xf numFmtId="38" fontId="0" fillId="13" borderId="18" xfId="0" applyNumberFormat="1" applyFill="1" applyBorder="1"/>
    <xf numFmtId="38" fontId="4" fillId="13" borderId="0" xfId="0" applyNumberFormat="1" applyFont="1" applyFill="1"/>
    <xf numFmtId="0" fontId="37" fillId="0" borderId="0" xfId="0" applyFont="1" applyAlignment="1">
      <alignment horizontal="left"/>
    </xf>
    <xf numFmtId="0" fontId="37" fillId="0" borderId="0" xfId="0" applyFont="1"/>
    <xf numFmtId="0" fontId="37" fillId="13" borderId="3" xfId="0" applyFont="1" applyFill="1" applyBorder="1" applyAlignment="1">
      <alignment horizontal="center"/>
    </xf>
    <xf numFmtId="0" fontId="38" fillId="0" borderId="0" xfId="0" applyFont="1"/>
    <xf numFmtId="3" fontId="37" fillId="13" borderId="3" xfId="0" applyNumberFormat="1" applyFont="1" applyFill="1" applyBorder="1" applyAlignment="1">
      <alignment horizontal="center"/>
    </xf>
    <xf numFmtId="4" fontId="5" fillId="12" borderId="26" xfId="0" applyNumberFormat="1" applyFont="1" applyFill="1" applyBorder="1" applyAlignment="1">
      <alignment horizontal="right"/>
    </xf>
    <xf numFmtId="4" fontId="5" fillId="12" borderId="27" xfId="0" applyNumberFormat="1" applyFont="1" applyFill="1" applyBorder="1" applyAlignment="1">
      <alignment horizontal="right"/>
    </xf>
    <xf numFmtId="4" fontId="5" fillId="12" borderId="27" xfId="0" applyNumberFormat="1" applyFont="1" applyFill="1" applyBorder="1"/>
    <xf numFmtId="4" fontId="5" fillId="12" borderId="26" xfId="0" applyNumberFormat="1" applyFont="1" applyFill="1" applyBorder="1"/>
    <xf numFmtId="14" fontId="5" fillId="12" borderId="34" xfId="0" applyNumberFormat="1" applyFont="1" applyFill="1" applyBorder="1"/>
    <xf numFmtId="0" fontId="0" fillId="12" borderId="3" xfId="0" applyFont="1" applyFill="1" applyBorder="1"/>
    <xf numFmtId="0" fontId="15" fillId="5" borderId="0" xfId="0" applyFont="1" applyFill="1" applyAlignment="1">
      <alignment horizontal="center"/>
    </xf>
    <xf numFmtId="14" fontId="1" fillId="0" borderId="34" xfId="0" applyNumberFormat="1" applyFont="1" applyFill="1" applyBorder="1"/>
    <xf numFmtId="0" fontId="22" fillId="0" borderId="54" xfId="0" applyFont="1" applyBorder="1" applyAlignment="1">
      <alignment horizontal="center" vertical="center"/>
    </xf>
    <xf numFmtId="4" fontId="4" fillId="11" borderId="54" xfId="0" applyNumberFormat="1" applyFont="1" applyFill="1" applyBorder="1"/>
    <xf numFmtId="4" fontId="5" fillId="0" borderId="54" xfId="0" applyNumberFormat="1" applyFont="1" applyBorder="1"/>
    <xf numFmtId="4" fontId="5" fillId="12" borderId="54" xfId="0" applyNumberFormat="1" applyFont="1" applyFill="1" applyBorder="1" applyAlignment="1">
      <alignment horizontal="right"/>
    </xf>
    <xf numFmtId="4" fontId="5" fillId="12" borderId="54" xfId="0" applyNumberFormat="1" applyFont="1" applyFill="1" applyBorder="1"/>
    <xf numFmtId="4" fontId="5" fillId="9" borderId="61" xfId="0" applyNumberFormat="1" applyFont="1" applyFill="1" applyBorder="1"/>
    <xf numFmtId="4" fontId="5" fillId="9" borderId="54" xfId="0" applyNumberFormat="1" applyFont="1" applyFill="1" applyBorder="1"/>
    <xf numFmtId="4" fontId="5" fillId="9" borderId="54" xfId="0" applyNumberFormat="1" applyFont="1" applyFill="1" applyBorder="1" applyAlignment="1">
      <alignment wrapText="1"/>
    </xf>
    <xf numFmtId="4" fontId="5" fillId="9" borderId="62" xfId="0" applyNumberFormat="1" applyFont="1" applyFill="1" applyBorder="1" applyAlignment="1">
      <alignment wrapText="1"/>
    </xf>
    <xf numFmtId="4" fontId="1" fillId="0" borderId="34" xfId="0" applyNumberFormat="1" applyFont="1" applyFill="1" applyBorder="1" applyAlignment="1">
      <alignment horizontal="right"/>
    </xf>
    <xf numFmtId="4" fontId="1" fillId="0" borderId="55" xfId="0" applyNumberFormat="1" applyFont="1" applyFill="1" applyBorder="1" applyAlignment="1">
      <alignment horizontal="right"/>
    </xf>
    <xf numFmtId="0" fontId="4" fillId="0" borderId="22" xfId="0" applyFont="1" applyBorder="1"/>
    <xf numFmtId="0" fontId="0" fillId="0" borderId="18" xfId="0" applyFont="1" applyFill="1" applyBorder="1"/>
    <xf numFmtId="0" fontId="15" fillId="5" borderId="0" xfId="0" applyFont="1" applyFill="1" applyAlignment="1">
      <alignment horizontal="center"/>
    </xf>
    <xf numFmtId="4" fontId="4" fillId="0" borderId="0" xfId="0" applyNumberFormat="1" applyFont="1" applyFill="1"/>
    <xf numFmtId="0" fontId="5" fillId="0" borderId="0" xfId="0" applyFont="1" applyFill="1"/>
    <xf numFmtId="4" fontId="1" fillId="0" borderId="29" xfId="0" applyNumberFormat="1" applyFont="1" applyFill="1" applyBorder="1" applyAlignment="1">
      <alignment horizontal="right"/>
    </xf>
    <xf numFmtId="0" fontId="0" fillId="0" borderId="24" xfId="0" applyFont="1" applyBorder="1"/>
    <xf numFmtId="0" fontId="0" fillId="0" borderId="24" xfId="0" applyFont="1" applyFill="1" applyBorder="1"/>
    <xf numFmtId="0" fontId="0" fillId="12" borderId="24" xfId="0" applyFont="1" applyFill="1" applyBorder="1"/>
    <xf numFmtId="14" fontId="0" fillId="0" borderId="34" xfId="0" applyNumberFormat="1" applyFont="1" applyFill="1" applyBorder="1" applyAlignment="1">
      <alignment horizontal="right"/>
    </xf>
    <xf numFmtId="14" fontId="5" fillId="0" borderId="34" xfId="0" applyNumberFormat="1" applyFont="1" applyFill="1" applyBorder="1" applyAlignment="1">
      <alignment horizontal="right"/>
    </xf>
    <xf numFmtId="14" fontId="1" fillId="0" borderId="34" xfId="0" applyNumberFormat="1" applyFont="1" applyFill="1" applyBorder="1" applyAlignment="1">
      <alignment horizontal="right"/>
    </xf>
    <xf numFmtId="14" fontId="5" fillId="12" borderId="3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left"/>
    </xf>
    <xf numFmtId="4" fontId="5" fillId="0" borderId="17" xfId="0" applyNumberFormat="1" applyFont="1" applyFill="1" applyBorder="1" applyAlignment="1">
      <alignment horizontal="right"/>
    </xf>
    <xf numFmtId="0" fontId="0" fillId="13" borderId="0" xfId="0" applyFont="1" applyFill="1"/>
    <xf numFmtId="0" fontId="0" fillId="13" borderId="0" xfId="0" applyFont="1" applyFill="1" applyBorder="1" applyAlignment="1">
      <alignment horizontal="left"/>
    </xf>
    <xf numFmtId="0" fontId="22" fillId="13" borderId="0" xfId="0" applyFont="1" applyFill="1" applyBorder="1"/>
    <xf numFmtId="3" fontId="0" fillId="13" borderId="0" xfId="0" applyNumberFormat="1" applyFill="1" applyBorder="1"/>
    <xf numFmtId="4" fontId="0" fillId="0" borderId="28" xfId="0" applyNumberFormat="1" applyFont="1" applyFill="1" applyBorder="1" applyAlignment="1">
      <alignment horizontal="right"/>
    </xf>
    <xf numFmtId="0" fontId="0" fillId="0" borderId="17" xfId="0" applyFont="1" applyBorder="1"/>
    <xf numFmtId="3" fontId="0" fillId="0" borderId="17" xfId="0" applyNumberFormat="1" applyFill="1" applyBorder="1"/>
    <xf numFmtId="14" fontId="4" fillId="0" borderId="34" xfId="0" applyNumberFormat="1" applyFont="1" applyFill="1" applyBorder="1"/>
    <xf numFmtId="0" fontId="4" fillId="0" borderId="3" xfId="0" applyFont="1" applyFill="1" applyBorder="1"/>
    <xf numFmtId="0" fontId="4" fillId="0" borderId="24" xfId="0" applyFont="1" applyFill="1" applyBorder="1"/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14" fontId="4" fillId="0" borderId="34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left"/>
    </xf>
    <xf numFmtId="14" fontId="4" fillId="0" borderId="34" xfId="0" applyNumberFormat="1" applyFont="1" applyBorder="1"/>
    <xf numFmtId="0" fontId="4" fillId="0" borderId="24" xfId="0" applyFont="1" applyBorder="1"/>
    <xf numFmtId="4" fontId="4" fillId="0" borderId="27" xfId="0" applyNumberFormat="1" applyFont="1" applyBorder="1"/>
    <xf numFmtId="0" fontId="1" fillId="0" borderId="0" xfId="0" applyFont="1" applyBorder="1"/>
    <xf numFmtId="0" fontId="0" fillId="0" borderId="0" xfId="0" applyFont="1" applyAlignment="1">
      <alignment horizontal="left"/>
    </xf>
    <xf numFmtId="0" fontId="0" fillId="13" borderId="18" xfId="0" applyFont="1" applyFill="1" applyBorder="1"/>
    <xf numFmtId="0" fontId="28" fillId="0" borderId="0" xfId="18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4" fillId="11" borderId="17" xfId="0" applyNumberFormat="1" applyFont="1" applyFill="1" applyBorder="1"/>
    <xf numFmtId="3" fontId="0" fillId="10" borderId="0" xfId="0" applyNumberFormat="1" applyFill="1" applyBorder="1"/>
    <xf numFmtId="0" fontId="1" fillId="0" borderId="17" xfId="0" applyFont="1" applyBorder="1"/>
    <xf numFmtId="3" fontId="0" fillId="11" borderId="17" xfId="0" applyNumberFormat="1" applyFill="1" applyBorder="1"/>
    <xf numFmtId="0" fontId="4" fillId="13" borderId="23" xfId="0" applyFont="1" applyFill="1" applyBorder="1"/>
    <xf numFmtId="3" fontId="4" fillId="13" borderId="23" xfId="0" applyNumberFormat="1" applyFont="1" applyFill="1" applyBorder="1"/>
    <xf numFmtId="0" fontId="41" fillId="0" borderId="0" xfId="0" applyFont="1"/>
    <xf numFmtId="0" fontId="4" fillId="14" borderId="23" xfId="0" applyFont="1" applyFill="1" applyBorder="1"/>
    <xf numFmtId="3" fontId="4" fillId="0" borderId="23" xfId="0" applyNumberFormat="1" applyFont="1" applyFill="1" applyBorder="1"/>
    <xf numFmtId="38" fontId="4" fillId="13" borderId="23" xfId="0" applyNumberFormat="1" applyFont="1" applyFill="1" applyBorder="1"/>
    <xf numFmtId="0" fontId="1" fillId="0" borderId="5" xfId="0" applyFont="1" applyBorder="1"/>
    <xf numFmtId="0" fontId="0" fillId="0" borderId="5" xfId="0" applyBorder="1"/>
    <xf numFmtId="3" fontId="0" fillId="0" borderId="5" xfId="0" applyNumberFormat="1" applyFill="1" applyBorder="1"/>
    <xf numFmtId="0" fontId="0" fillId="0" borderId="18" xfId="0" applyFont="1" applyBorder="1"/>
    <xf numFmtId="3" fontId="0" fillId="0" borderId="18" xfId="0" applyNumberFormat="1" applyFill="1" applyBorder="1"/>
    <xf numFmtId="3" fontId="16" fillId="0" borderId="0" xfId="0" applyNumberFormat="1" applyFont="1" applyAlignment="1">
      <alignment horizontal="left"/>
    </xf>
    <xf numFmtId="3" fontId="16" fillId="0" borderId="18" xfId="0" applyNumberFormat="1" applyFont="1" applyBorder="1" applyAlignment="1">
      <alignment horizontal="left"/>
    </xf>
    <xf numFmtId="3" fontId="16" fillId="0" borderId="23" xfId="0" applyNumberFormat="1" applyFont="1" applyBorder="1" applyAlignment="1">
      <alignment horizontal="left"/>
    </xf>
    <xf numFmtId="0" fontId="16" fillId="0" borderId="0" xfId="0" applyNumberFormat="1" applyFont="1" applyAlignment="1">
      <alignment horizontal="left"/>
    </xf>
    <xf numFmtId="3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3" fontId="16" fillId="15" borderId="0" xfId="0" applyNumberFormat="1" applyFont="1" applyFill="1"/>
    <xf numFmtId="3" fontId="16" fillId="15" borderId="4" xfId="0" applyNumberFormat="1" applyFont="1" applyFill="1" applyBorder="1"/>
    <xf numFmtId="3" fontId="16" fillId="15" borderId="17" xfId="0" applyNumberFormat="1" applyFont="1" applyFill="1" applyBorder="1"/>
    <xf numFmtId="3" fontId="16" fillId="15" borderId="25" xfId="0" applyNumberFormat="1" applyFont="1" applyFill="1" applyBorder="1"/>
    <xf numFmtId="3" fontId="16" fillId="15" borderId="3" xfId="0" applyNumberFormat="1" applyFont="1" applyFill="1" applyBorder="1"/>
    <xf numFmtId="3" fontId="0" fillId="15" borderId="0" xfId="0" applyNumberFormat="1" applyFill="1"/>
    <xf numFmtId="3" fontId="0" fillId="15" borderId="4" xfId="0" applyNumberFormat="1" applyFill="1" applyBorder="1"/>
    <xf numFmtId="3" fontId="16" fillId="15" borderId="23" xfId="0" applyNumberFormat="1" applyFont="1" applyFill="1" applyBorder="1"/>
    <xf numFmtId="3" fontId="16" fillId="15" borderId="60" xfId="0" applyNumberFormat="1" applyFont="1" applyFill="1" applyBorder="1"/>
    <xf numFmtId="0" fontId="36" fillId="0" borderId="50" xfId="0" applyFont="1" applyBorder="1"/>
    <xf numFmtId="0" fontId="36" fillId="0" borderId="36" xfId="0" applyFont="1" applyBorder="1"/>
    <xf numFmtId="0" fontId="49" fillId="0" borderId="0" xfId="0" applyFont="1" applyBorder="1" applyAlignment="1">
      <alignment horizontal="left"/>
    </xf>
    <xf numFmtId="0" fontId="51" fillId="4" borderId="40" xfId="0" applyFont="1" applyFill="1" applyBorder="1" applyAlignment="1"/>
    <xf numFmtId="0" fontId="51" fillId="7" borderId="41" xfId="0" applyFont="1" applyFill="1" applyBorder="1" applyAlignment="1">
      <alignment vertical="center"/>
    </xf>
    <xf numFmtId="0" fontId="51" fillId="8" borderId="42" xfId="0" applyFont="1" applyFill="1" applyBorder="1" applyAlignment="1">
      <alignment vertical="center"/>
    </xf>
    <xf numFmtId="0" fontId="0" fillId="0" borderId="0" xfId="0" applyFont="1"/>
    <xf numFmtId="0" fontId="21" fillId="0" borderId="0" xfId="0" applyFont="1"/>
    <xf numFmtId="3" fontId="0" fillId="0" borderId="0" xfId="0" applyNumberFormat="1" applyFont="1" applyBorder="1"/>
    <xf numFmtId="0" fontId="0" fillId="0" borderId="0" xfId="0" applyAlignment="1">
      <alignment horizontal="center"/>
    </xf>
    <xf numFmtId="0" fontId="15" fillId="5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30" fillId="13" borderId="0" xfId="0" applyFont="1" applyFill="1" applyAlignment="1">
      <alignment horizontal="left"/>
    </xf>
    <xf numFmtId="14" fontId="1" fillId="0" borderId="34" xfId="0" applyNumberFormat="1" applyFont="1" applyBorder="1"/>
    <xf numFmtId="0" fontId="1" fillId="0" borderId="3" xfId="0" applyFont="1" applyBorder="1"/>
    <xf numFmtId="14" fontId="1" fillId="12" borderId="34" xfId="0" applyNumberFormat="1" applyFont="1" applyFill="1" applyBorder="1" applyAlignment="1">
      <alignment horizontal="right"/>
    </xf>
    <xf numFmtId="4" fontId="1" fillId="0" borderId="27" xfId="0" applyNumberFormat="1" applyFont="1" applyBorder="1"/>
    <xf numFmtId="4" fontId="1" fillId="0" borderId="26" xfId="0" applyNumberFormat="1" applyFont="1" applyFill="1" applyBorder="1" applyAlignment="1">
      <alignment horizontal="right"/>
    </xf>
    <xf numFmtId="2" fontId="5" fillId="0" borderId="0" xfId="0" applyNumberFormat="1" applyFont="1"/>
    <xf numFmtId="3" fontId="16" fillId="15" borderId="63" xfId="0" applyNumberFormat="1" applyFont="1" applyFill="1" applyBorder="1"/>
    <xf numFmtId="0" fontId="1" fillId="13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61" fillId="0" borderId="24" xfId="0" applyFont="1" applyFill="1" applyBorder="1"/>
    <xf numFmtId="4" fontId="61" fillId="0" borderId="26" xfId="0" applyNumberFormat="1" applyFont="1" applyFill="1" applyBorder="1" applyAlignment="1">
      <alignment horizontal="right"/>
    </xf>
    <xf numFmtId="4" fontId="61" fillId="0" borderId="27" xfId="0" applyNumberFormat="1" applyFont="1" applyFill="1" applyBorder="1" applyAlignment="1">
      <alignment horizontal="right"/>
    </xf>
    <xf numFmtId="14" fontId="61" fillId="0" borderId="34" xfId="0" applyNumberFormat="1" applyFont="1" applyFill="1" applyBorder="1"/>
    <xf numFmtId="0" fontId="61" fillId="0" borderId="3" xfId="0" applyFont="1" applyBorder="1"/>
    <xf numFmtId="4" fontId="61" fillId="0" borderId="54" xfId="0" applyNumberFormat="1" applyFont="1" applyFill="1" applyBorder="1" applyAlignment="1">
      <alignment horizontal="right"/>
    </xf>
    <xf numFmtId="4" fontId="61" fillId="0" borderId="17" xfId="0" applyNumberFormat="1" applyFont="1" applyFill="1" applyBorder="1" applyAlignment="1">
      <alignment horizontal="right"/>
    </xf>
    <xf numFmtId="0" fontId="61" fillId="0" borderId="0" xfId="0" applyFont="1"/>
    <xf numFmtId="0" fontId="0" fillId="0" borderId="0" xfId="0" applyAlignment="1">
      <alignment horizontal="center"/>
    </xf>
    <xf numFmtId="0" fontId="15" fillId="5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30" fillId="13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0" fillId="13" borderId="0" xfId="0" applyFont="1" applyFill="1" applyBorder="1"/>
    <xf numFmtId="14" fontId="63" fillId="0" borderId="34" xfId="0" applyNumberFormat="1" applyFont="1" applyBorder="1"/>
    <xf numFmtId="0" fontId="63" fillId="0" borderId="3" xfId="0" applyFont="1" applyFill="1" applyBorder="1"/>
    <xf numFmtId="0" fontId="63" fillId="0" borderId="24" xfId="0" applyFont="1" applyFill="1" applyBorder="1"/>
    <xf numFmtId="4" fontId="63" fillId="0" borderId="26" xfId="0" applyNumberFormat="1" applyFont="1" applyFill="1" applyBorder="1" applyAlignment="1">
      <alignment horizontal="right"/>
    </xf>
    <xf numFmtId="4" fontId="63" fillId="0" borderId="27" xfId="0" applyNumberFormat="1" applyFont="1" applyFill="1" applyBorder="1" applyAlignment="1">
      <alignment horizontal="right"/>
    </xf>
    <xf numFmtId="4" fontId="63" fillId="12" borderId="26" xfId="0" applyNumberFormat="1" applyFont="1" applyFill="1" applyBorder="1" applyAlignment="1">
      <alignment horizontal="right"/>
    </xf>
    <xf numFmtId="4" fontId="63" fillId="12" borderId="27" xfId="0" applyNumberFormat="1" applyFont="1" applyFill="1" applyBorder="1" applyAlignment="1">
      <alignment horizontal="right"/>
    </xf>
    <xf numFmtId="4" fontId="63" fillId="0" borderId="27" xfId="0" applyNumberFormat="1" applyFont="1" applyBorder="1"/>
    <xf numFmtId="4" fontId="63" fillId="12" borderId="54" xfId="0" applyNumberFormat="1" applyFont="1" applyFill="1" applyBorder="1" applyAlignment="1">
      <alignment horizontal="right"/>
    </xf>
    <xf numFmtId="4" fontId="66" fillId="0" borderId="0" xfId="0" applyNumberFormat="1" applyFont="1"/>
    <xf numFmtId="164" fontId="63" fillId="0" borderId="0" xfId="0" applyNumberFormat="1" applyFont="1" applyBorder="1"/>
    <xf numFmtId="0" fontId="63" fillId="0" borderId="0" xfId="0" applyFont="1"/>
    <xf numFmtId="0" fontId="63" fillId="0" borderId="0" xfId="0" applyFont="1" applyBorder="1"/>
    <xf numFmtId="14" fontId="63" fillId="0" borderId="34" xfId="0" applyNumberFormat="1" applyFont="1" applyFill="1" applyBorder="1"/>
    <xf numFmtId="4" fontId="66" fillId="0" borderId="26" xfId="0" applyNumberFormat="1" applyFont="1" applyFill="1" applyBorder="1" applyAlignment="1">
      <alignment horizontal="right"/>
    </xf>
    <xf numFmtId="0" fontId="15" fillId="5" borderId="0" xfId="0" applyFont="1" applyFill="1" applyAlignment="1">
      <alignment horizontal="center"/>
    </xf>
    <xf numFmtId="4" fontId="1" fillId="12" borderId="26" xfId="0" applyNumberFormat="1" applyFont="1" applyFill="1" applyBorder="1" applyAlignment="1">
      <alignment horizontal="right"/>
    </xf>
    <xf numFmtId="4" fontId="1" fillId="12" borderId="26" xfId="0" applyNumberFormat="1" applyFont="1" applyFill="1" applyBorder="1"/>
    <xf numFmtId="3" fontId="28" fillId="0" borderId="0" xfId="18" applyNumberFormat="1"/>
    <xf numFmtId="0" fontId="67" fillId="0" borderId="0" xfId="18" applyFont="1"/>
    <xf numFmtId="3" fontId="67" fillId="15" borderId="0" xfId="18" applyNumberFormat="1" applyFont="1" applyFill="1"/>
    <xf numFmtId="3" fontId="67" fillId="15" borderId="17" xfId="18" applyNumberFormat="1" applyFont="1" applyFill="1" applyBorder="1"/>
    <xf numFmtId="3" fontId="67" fillId="15" borderId="23" xfId="18" applyNumberFormat="1" applyFont="1" applyFill="1" applyBorder="1"/>
    <xf numFmtId="0" fontId="69" fillId="16" borderId="0" xfId="18" applyFont="1" applyFill="1" applyAlignment="1">
      <alignment horizontal="center"/>
    </xf>
    <xf numFmtId="3" fontId="67" fillId="12" borderId="0" xfId="18" applyNumberFormat="1" applyFont="1" applyFill="1"/>
    <xf numFmtId="3" fontId="67" fillId="12" borderId="23" xfId="18" applyNumberFormat="1" applyFont="1" applyFill="1" applyBorder="1"/>
    <xf numFmtId="3" fontId="24" fillId="12" borderId="0" xfId="0" applyNumberFormat="1" applyFont="1" applyFill="1"/>
    <xf numFmtId="3" fontId="67" fillId="12" borderId="23" xfId="0" applyNumberFormat="1" applyFont="1" applyFill="1" applyBorder="1"/>
    <xf numFmtId="3" fontId="70" fillId="0" borderId="0" xfId="18" applyNumberFormat="1" applyFont="1"/>
    <xf numFmtId="0" fontId="68" fillId="5" borderId="0" xfId="18" applyFont="1" applyFill="1" applyAlignment="1">
      <alignment horizontal="center"/>
    </xf>
    <xf numFmtId="0" fontId="0" fillId="12" borderId="58" xfId="0" applyFill="1" applyBorder="1"/>
    <xf numFmtId="3" fontId="16" fillId="12" borderId="58" xfId="0" applyNumberFormat="1" applyFont="1" applyFill="1" applyBorder="1"/>
    <xf numFmtId="3" fontId="16" fillId="12" borderId="59" xfId="0" applyNumberFormat="1" applyFont="1" applyFill="1" applyBorder="1"/>
    <xf numFmtId="3" fontId="0" fillId="12" borderId="58" xfId="0" applyNumberFormat="1" applyFill="1" applyBorder="1"/>
    <xf numFmtId="4" fontId="1" fillId="10" borderId="29" xfId="0" applyNumberFormat="1" applyFont="1" applyFill="1" applyBorder="1"/>
    <xf numFmtId="3" fontId="1" fillId="0" borderId="0" xfId="0" applyNumberFormat="1" applyFont="1" applyBorder="1"/>
    <xf numFmtId="1" fontId="67" fillId="12" borderId="23" xfId="1" applyNumberFormat="1" applyFont="1" applyFill="1" applyBorder="1"/>
    <xf numFmtId="14" fontId="2" fillId="0" borderId="34" xfId="0" applyNumberFormat="1" applyFont="1" applyBorder="1"/>
    <xf numFmtId="14" fontId="6" fillId="0" borderId="34" xfId="0" applyNumberFormat="1" applyFont="1" applyBorder="1"/>
    <xf numFmtId="14" fontId="71" fillId="0" borderId="34" xfId="0" applyNumberFormat="1" applyFont="1" applyBorder="1"/>
    <xf numFmtId="14" fontId="2" fillId="0" borderId="34" xfId="0" applyNumberFormat="1" applyFont="1" applyFill="1" applyBorder="1"/>
    <xf numFmtId="14" fontId="6" fillId="0" borderId="34" xfId="0" applyNumberFormat="1" applyFont="1" applyFill="1" applyBorder="1"/>
    <xf numFmtId="14" fontId="71" fillId="0" borderId="34" xfId="0" applyNumberFormat="1" applyFont="1" applyFill="1" applyBorder="1"/>
    <xf numFmtId="14" fontId="2" fillId="0" borderId="34" xfId="0" applyNumberFormat="1" applyFont="1" applyFill="1" applyBorder="1" applyAlignment="1">
      <alignment horizontal="right"/>
    </xf>
    <xf numFmtId="14" fontId="6" fillId="0" borderId="34" xfId="0" applyNumberFormat="1" applyFont="1" applyFill="1" applyBorder="1" applyAlignment="1">
      <alignment horizontal="right"/>
    </xf>
    <xf numFmtId="14" fontId="2" fillId="12" borderId="34" xfId="0" applyNumberFormat="1" applyFont="1" applyFill="1" applyBorder="1" applyAlignment="1">
      <alignment horizontal="right"/>
    </xf>
    <xf numFmtId="0" fontId="72" fillId="16" borderId="16" xfId="0" applyFont="1" applyFill="1" applyBorder="1" applyAlignment="1">
      <alignment horizontal="center"/>
    </xf>
    <xf numFmtId="0" fontId="73" fillId="13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13" borderId="0" xfId="0" applyFont="1" applyFill="1" applyAlignment="1">
      <alignment horizontal="left" vertical="top" wrapText="1"/>
    </xf>
    <xf numFmtId="0" fontId="36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13" borderId="5" xfId="0" applyFill="1" applyBorder="1" applyAlignment="1">
      <alignment horizontal="center"/>
    </xf>
    <xf numFmtId="0" fontId="1" fillId="0" borderId="47" xfId="0" quotePrefix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5" fillId="5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left"/>
    </xf>
    <xf numFmtId="0" fontId="1" fillId="13" borderId="18" xfId="0" applyFont="1" applyFill="1" applyBorder="1" applyAlignment="1">
      <alignment horizontal="left"/>
    </xf>
    <xf numFmtId="0" fontId="4" fillId="13" borderId="23" xfId="0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18" xfId="0" applyFont="1" applyFill="1" applyBorder="1" applyAlignment="1">
      <alignment horizontal="left"/>
    </xf>
    <xf numFmtId="0" fontId="30" fillId="13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0" fillId="13" borderId="0" xfId="0" applyFont="1" applyFill="1" applyAlignment="1">
      <alignment horizontal="left"/>
    </xf>
    <xf numFmtId="0" fontId="24" fillId="4" borderId="46" xfId="0" applyFont="1" applyFill="1" applyBorder="1" applyAlignment="1">
      <alignment horizontal="center" vertical="center"/>
    </xf>
    <xf numFmtId="0" fontId="24" fillId="4" borderId="48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right"/>
    </xf>
    <xf numFmtId="0" fontId="24" fillId="7" borderId="46" xfId="0" applyFont="1" applyFill="1" applyBorder="1" applyAlignment="1">
      <alignment horizontal="center" vertical="center"/>
    </xf>
    <xf numFmtId="0" fontId="24" fillId="8" borderId="46" xfId="0" applyFont="1" applyFill="1" applyBorder="1" applyAlignment="1">
      <alignment horizontal="center" vertical="center"/>
    </xf>
    <xf numFmtId="0" fontId="24" fillId="4" borderId="45" xfId="0" applyFont="1" applyFill="1" applyBorder="1" applyAlignment="1">
      <alignment horizontal="center" vertical="center"/>
    </xf>
    <xf numFmtId="0" fontId="24" fillId="4" borderId="50" xfId="0" applyFont="1" applyFill="1" applyBorder="1" applyAlignment="1">
      <alignment horizontal="center" vertical="center"/>
    </xf>
    <xf numFmtId="0" fontId="24" fillId="8" borderId="45" xfId="0" applyFont="1" applyFill="1" applyBorder="1" applyAlignment="1">
      <alignment horizontal="center" vertical="center"/>
    </xf>
    <xf numFmtId="16" fontId="24" fillId="8" borderId="45" xfId="0" applyNumberFormat="1" applyFont="1" applyFill="1" applyBorder="1" applyAlignment="1">
      <alignment horizontal="center" vertical="center"/>
    </xf>
    <xf numFmtId="0" fontId="24" fillId="7" borderId="45" xfId="0" applyFont="1" applyFill="1" applyBorder="1" applyAlignment="1">
      <alignment horizontal="center" vertical="center"/>
    </xf>
    <xf numFmtId="0" fontId="50" fillId="0" borderId="35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2" fillId="0" borderId="4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24" fillId="4" borderId="49" xfId="0" applyFont="1" applyFill="1" applyBorder="1" applyAlignment="1">
      <alignment horizontal="center" vertical="center"/>
    </xf>
    <xf numFmtId="0" fontId="24" fillId="4" borderId="51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/>
    </xf>
    <xf numFmtId="0" fontId="19" fillId="8" borderId="24" xfId="0" applyFont="1" applyFill="1" applyBorder="1" applyAlignment="1">
      <alignment horizontal="center"/>
    </xf>
    <xf numFmtId="0" fontId="19" fillId="8" borderId="25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5" xfId="0" applyFont="1" applyFill="1" applyBorder="1" applyAlignment="1">
      <alignment horizontal="center"/>
    </xf>
    <xf numFmtId="0" fontId="23" fillId="4" borderId="24" xfId="0" applyFont="1" applyFill="1" applyBorder="1" applyAlignment="1"/>
    <xf numFmtId="0" fontId="23" fillId="4" borderId="25" xfId="0" applyFont="1" applyFill="1" applyBorder="1" applyAlignment="1"/>
    <xf numFmtId="16" fontId="19" fillId="8" borderId="24" xfId="0" applyNumberFormat="1" applyFont="1" applyFill="1" applyBorder="1" applyAlignment="1">
      <alignment horizontal="center"/>
    </xf>
    <xf numFmtId="0" fontId="18" fillId="8" borderId="24" xfId="0" applyFont="1" applyFill="1" applyBorder="1" applyAlignment="1">
      <alignment horizontal="center"/>
    </xf>
    <xf numFmtId="0" fontId="18" fillId="8" borderId="25" xfId="0" applyFont="1" applyFill="1" applyBorder="1" applyAlignment="1">
      <alignment horizontal="center"/>
    </xf>
    <xf numFmtId="0" fontId="13" fillId="4" borderId="24" xfId="0" applyFont="1" applyFill="1" applyBorder="1" applyAlignment="1"/>
    <xf numFmtId="0" fontId="13" fillId="4" borderId="25" xfId="0" applyFont="1" applyFill="1" applyBorder="1" applyAlignment="1"/>
    <xf numFmtId="0" fontId="18" fillId="7" borderId="24" xfId="0" applyFont="1" applyFill="1" applyBorder="1" applyAlignment="1">
      <alignment horizontal="center"/>
    </xf>
    <xf numFmtId="0" fontId="18" fillId="7" borderId="25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16" fontId="18" fillId="8" borderId="24" xfId="0" applyNumberFormat="1" applyFont="1" applyFill="1" applyBorder="1" applyAlignment="1">
      <alignment horizontal="center"/>
    </xf>
  </cellXfs>
  <cellStyles count="25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7" builtinId="9" hidden="1"/>
    <cellStyle name="Benyttet hyperkobling" xfId="19" builtinId="9" hidden="1"/>
    <cellStyle name="Benyttet hyperkobling" xfId="20" builtinId="9" hidden="1"/>
    <cellStyle name="Benyttet hyperkobling" xfId="21" builtinId="9" hidden="1"/>
    <cellStyle name="Benyttet hyperkobling" xfId="22" builtinId="9" hidden="1"/>
    <cellStyle name="Benyttet hyperkobling" xfId="23" builtinId="9" hidden="1"/>
    <cellStyle name="Benyttet hyperkobling" xfId="24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6" builtinId="8" hidden="1"/>
    <cellStyle name="Hyperkobling" xfId="18" builtinId="8"/>
    <cellStyle name="Komma" xfId="1" builtinId="3"/>
    <cellStyle name="Normal" xfId="0" builtinId="0"/>
    <cellStyle name="Prosent" xfId="14" builtinId="5"/>
    <cellStyle name="Prosent 2" xfId="15"/>
  </cellStyles>
  <dxfs count="1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thilde.stray@gmail.com" TargetMode="External"/><Relationship Id="rId1" Type="http://schemas.openxmlformats.org/officeDocument/2006/relationships/hyperlink" Target="mailto:stine@skillebekk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file:///C:\Users\john\AppData\Roaming\Microsoft\Excel\Regnskap%20skillebekk%20vel%202017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file:///C:\Users\john\AppData\Roaming\Microsoft\Excel\Regnskap%20skillebekk%20vel%202018.xlsx" TargetMode="External"/><Relationship Id="rId1" Type="http://schemas.openxmlformats.org/officeDocument/2006/relationships/hyperlink" Target="file:///C:\Users\john\AppData\Roaming\Microsoft\Excel\Regnskap%20skillebekk%20vel%202018.xlsx" TargetMode="External"/><Relationship Id="rId6" Type="http://schemas.openxmlformats.org/officeDocument/2006/relationships/hyperlink" Target="file:///C:\Users\john\AppData\Roaming\Microsoft\Excel\Regnskap%20skillebekk%20vel%202017.xlsx" TargetMode="External"/><Relationship Id="rId5" Type="http://schemas.openxmlformats.org/officeDocument/2006/relationships/hyperlink" Target="file:///C:\Users\john\AppData\Roaming\Microsoft\Excel\Regnskap%20skillebekk%20vel%202017.xlsx" TargetMode="External"/><Relationship Id="rId4" Type="http://schemas.openxmlformats.org/officeDocument/2006/relationships/hyperlink" Target="file:///C:\Users\john\AppData\Roaming\Microsoft\Excel\Regnskap%20skillebekk%20vel%202018.xlsx" TargetMode="External"/><Relationship Id="rId9" Type="http://schemas.openxmlformats.org/officeDocument/2006/relationships/comments" Target="../comments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showGridLines="0" workbookViewId="0">
      <selection activeCell="D37" sqref="D37"/>
    </sheetView>
  </sheetViews>
  <sheetFormatPr baseColWidth="10" defaultRowHeight="12.75"/>
  <cols>
    <col min="5" max="5" width="8.140625" bestFit="1" customWidth="1"/>
  </cols>
  <sheetData>
    <row r="3" spans="2:8" ht="15">
      <c r="B3" s="537" t="s">
        <v>907</v>
      </c>
      <c r="C3" s="537"/>
      <c r="D3" s="537"/>
    </row>
    <row r="4" spans="2:8">
      <c r="B4" s="277"/>
    </row>
    <row r="5" spans="2:8">
      <c r="B5" s="277"/>
    </row>
    <row r="6" spans="2:8" ht="15">
      <c r="B6" s="538" t="s">
        <v>913</v>
      </c>
      <c r="C6" s="538"/>
      <c r="D6" s="538"/>
      <c r="E6" s="538"/>
      <c r="F6" s="359"/>
    </row>
    <row r="7" spans="2:8" ht="15">
      <c r="B7" s="357"/>
      <c r="C7" s="357"/>
      <c r="D7" s="357"/>
      <c r="E7" s="357"/>
      <c r="F7" s="358"/>
    </row>
    <row r="8" spans="2:8">
      <c r="B8" s="277"/>
    </row>
    <row r="9" spans="2:8" ht="38.25" customHeight="1">
      <c r="B9" s="539" t="s">
        <v>912</v>
      </c>
      <c r="C9" s="539"/>
      <c r="D9" s="539"/>
      <c r="E9" s="539"/>
      <c r="F9" s="539"/>
      <c r="G9" s="539"/>
      <c r="H9" s="539"/>
    </row>
    <row r="10" spans="2:8">
      <c r="B10" s="277"/>
    </row>
    <row r="11" spans="2:8" ht="15">
      <c r="B11" s="360" t="s">
        <v>914</v>
      </c>
      <c r="C11" s="360"/>
      <c r="D11" s="360"/>
      <c r="E11" s="360"/>
      <c r="F11" s="361"/>
      <c r="G11" s="541" t="s">
        <v>917</v>
      </c>
      <c r="H11" s="542"/>
    </row>
    <row r="12" spans="2:8">
      <c r="B12" s="277"/>
      <c r="E12" s="77"/>
      <c r="F12" s="302"/>
    </row>
    <row r="13" spans="2:8">
      <c r="B13" s="277" t="s">
        <v>909</v>
      </c>
    </row>
    <row r="14" spans="2:8">
      <c r="B14" s="277"/>
    </row>
    <row r="16" spans="2:8">
      <c r="B16" s="34" t="s">
        <v>908</v>
      </c>
    </row>
    <row r="17" spans="2:8" ht="12.75" customHeight="1">
      <c r="B17" s="536"/>
      <c r="C17" s="536"/>
      <c r="D17" s="536"/>
      <c r="E17" s="536"/>
      <c r="F17" s="536"/>
      <c r="G17" s="536"/>
      <c r="H17" s="536"/>
    </row>
    <row r="18" spans="2:8">
      <c r="B18" s="536"/>
      <c r="C18" s="536"/>
      <c r="D18" s="536"/>
      <c r="E18" s="536"/>
      <c r="F18" s="536"/>
      <c r="G18" s="536"/>
      <c r="H18" s="536"/>
    </row>
    <row r="19" spans="2:8">
      <c r="B19" s="536"/>
      <c r="C19" s="536"/>
      <c r="D19" s="536"/>
      <c r="E19" s="536"/>
      <c r="F19" s="536"/>
      <c r="G19" s="536"/>
      <c r="H19" s="536"/>
    </row>
    <row r="20" spans="2:8">
      <c r="B20" s="536"/>
      <c r="C20" s="536"/>
      <c r="D20" s="536"/>
      <c r="E20" s="536"/>
      <c r="F20" s="536"/>
      <c r="G20" s="536"/>
      <c r="H20" s="536"/>
    </row>
    <row r="22" spans="2:8" ht="32.25" customHeight="1">
      <c r="B22" s="539" t="s">
        <v>911</v>
      </c>
      <c r="C22" s="539"/>
      <c r="D22" s="539"/>
      <c r="E22" s="539"/>
      <c r="F22" s="539"/>
      <c r="G22" s="539"/>
      <c r="H22" s="539"/>
    </row>
    <row r="28" spans="2:8">
      <c r="B28" s="30"/>
      <c r="C28" s="30"/>
      <c r="D28" s="30"/>
      <c r="F28" s="30"/>
      <c r="G28" s="30"/>
      <c r="H28" s="30"/>
    </row>
    <row r="29" spans="2:8">
      <c r="B29" s="540" t="s">
        <v>1037</v>
      </c>
      <c r="C29" s="540"/>
      <c r="D29" s="540"/>
      <c r="F29" s="540" t="s">
        <v>915</v>
      </c>
      <c r="G29" s="540"/>
      <c r="H29" s="540"/>
    </row>
    <row r="31" spans="2:8">
      <c r="B31" s="535" t="s">
        <v>910</v>
      </c>
      <c r="C31" s="535"/>
      <c r="D31" s="535"/>
      <c r="F31" s="535" t="s">
        <v>910</v>
      </c>
      <c r="G31" s="535"/>
      <c r="H31" s="535"/>
    </row>
  </sheetData>
  <mergeCells count="10">
    <mergeCell ref="B31:D31"/>
    <mergeCell ref="F31:H31"/>
    <mergeCell ref="B17:H20"/>
    <mergeCell ref="B3:D3"/>
    <mergeCell ref="B6:E6"/>
    <mergeCell ref="B9:H9"/>
    <mergeCell ref="B22:H22"/>
    <mergeCell ref="F29:H29"/>
    <mergeCell ref="B29:D29"/>
    <mergeCell ref="G11:H11"/>
  </mergeCells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4" sqref="B14"/>
    </sheetView>
  </sheetViews>
  <sheetFormatPr baseColWidth="10" defaultColWidth="11.42578125" defaultRowHeight="19.5"/>
  <cols>
    <col min="1" max="1" width="11.42578125" style="343"/>
    <col min="2" max="2" width="126.85546875" style="343" bestFit="1" customWidth="1"/>
    <col min="3" max="16384" width="11.42578125" style="343"/>
  </cols>
  <sheetData>
    <row r="1" spans="1:2">
      <c r="A1" s="543" t="s">
        <v>899</v>
      </c>
      <c r="B1" s="543"/>
    </row>
    <row r="2" spans="1:2">
      <c r="A2" s="343">
        <v>1</v>
      </c>
      <c r="B2" s="343" t="s">
        <v>898</v>
      </c>
    </row>
    <row r="3" spans="1:2">
      <c r="A3" s="343">
        <f>A2+1</f>
        <v>2</v>
      </c>
      <c r="B3" s="343" t="s">
        <v>896</v>
      </c>
    </row>
    <row r="4" spans="1:2">
      <c r="A4" s="343">
        <f t="shared" ref="A4:A10" si="0">A3+1</f>
        <v>3</v>
      </c>
      <c r="B4" s="343" t="s">
        <v>897</v>
      </c>
    </row>
    <row r="5" spans="1:2">
      <c r="A5" s="343">
        <f t="shared" si="0"/>
        <v>4</v>
      </c>
      <c r="B5" s="343" t="s">
        <v>916</v>
      </c>
    </row>
    <row r="6" spans="1:2">
      <c r="A6" s="343">
        <f t="shared" si="0"/>
        <v>5</v>
      </c>
      <c r="B6" s="343" t="s">
        <v>900</v>
      </c>
    </row>
    <row r="7" spans="1:2">
      <c r="A7" s="343">
        <f t="shared" si="0"/>
        <v>6</v>
      </c>
      <c r="B7" s="343" t="s">
        <v>902</v>
      </c>
    </row>
    <row r="8" spans="1:2">
      <c r="A8" s="343">
        <f t="shared" si="0"/>
        <v>7</v>
      </c>
      <c r="B8" s="343" t="s">
        <v>901</v>
      </c>
    </row>
    <row r="9" spans="1:2">
      <c r="A9" s="343">
        <f t="shared" si="0"/>
        <v>8</v>
      </c>
      <c r="B9" s="343" t="s">
        <v>903</v>
      </c>
    </row>
    <row r="10" spans="1:2">
      <c r="A10" s="343">
        <f t="shared" si="0"/>
        <v>9</v>
      </c>
      <c r="B10" s="343" t="s">
        <v>904</v>
      </c>
    </row>
    <row r="14" spans="1:2">
      <c r="B14" s="343" t="s">
        <v>1025</v>
      </c>
    </row>
    <row r="15" spans="1:2">
      <c r="B15" s="416" t="s">
        <v>1023</v>
      </c>
    </row>
    <row r="16" spans="1:2">
      <c r="B16" s="416" t="s">
        <v>1024</v>
      </c>
    </row>
  </sheetData>
  <mergeCells count="1">
    <mergeCell ref="A1:B1"/>
  </mergeCells>
  <hyperlinks>
    <hyperlink ref="B15" r:id="rId1"/>
    <hyperlink ref="B16" r:id="rId2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D310"/>
  <sheetViews>
    <sheetView tabSelected="1" topLeftCell="A160" zoomScale="80" zoomScaleNormal="80" zoomScalePageLayoutView="110" workbookViewId="0">
      <selection activeCell="O171" sqref="O171"/>
    </sheetView>
  </sheetViews>
  <sheetFormatPr baseColWidth="10" defaultColWidth="10.85546875" defaultRowHeight="12.75"/>
  <cols>
    <col min="1" max="1" width="10.140625" bestFit="1" customWidth="1"/>
    <col min="2" max="2" width="41.28515625" customWidth="1"/>
    <col min="3" max="3" width="7.85546875" customWidth="1"/>
    <col min="4" max="5" width="13.85546875" customWidth="1"/>
    <col min="6" max="8" width="13.42578125" customWidth="1"/>
    <col min="9" max="9" width="14" customWidth="1"/>
    <col min="10" max="11" width="13.42578125" customWidth="1"/>
    <col min="12" max="51" width="13.85546875" customWidth="1"/>
    <col min="52" max="71" width="12.7109375" customWidth="1"/>
  </cols>
  <sheetData>
    <row r="1" spans="1:238" s="37" customFormat="1" ht="37.5">
      <c r="A1" s="569" t="s">
        <v>1107</v>
      </c>
      <c r="B1" s="570"/>
      <c r="C1" s="570"/>
      <c r="D1" s="570"/>
      <c r="E1" s="570"/>
      <c r="F1" s="570"/>
      <c r="G1" s="570"/>
    </row>
    <row r="2" spans="1:238" s="37" customFormat="1" ht="15" customHeight="1" thickBot="1">
      <c r="A2" s="451"/>
      <c r="B2" s="451"/>
      <c r="C2" s="451"/>
    </row>
    <row r="3" spans="1:238" s="37" customFormat="1" ht="14.25">
      <c r="A3" s="452" t="s">
        <v>510</v>
      </c>
      <c r="B3" s="209"/>
      <c r="C3" s="209"/>
    </row>
    <row r="4" spans="1:238" s="37" customFormat="1" ht="14.25">
      <c r="A4" s="453" t="s">
        <v>153</v>
      </c>
      <c r="B4" s="210"/>
      <c r="C4" s="210"/>
    </row>
    <row r="5" spans="1:238" s="37" customFormat="1" ht="15" thickBot="1">
      <c r="A5" s="454" t="s">
        <v>159</v>
      </c>
      <c r="B5" s="210"/>
      <c r="C5" s="210"/>
      <c r="F5" s="37">
        <v>6100</v>
      </c>
      <c r="H5" s="37">
        <v>6200</v>
      </c>
      <c r="J5" s="37">
        <v>6300</v>
      </c>
      <c r="N5" s="37">
        <v>6400</v>
      </c>
      <c r="P5" s="37">
        <v>6500</v>
      </c>
      <c r="R5" s="37">
        <v>6600</v>
      </c>
      <c r="T5" s="37">
        <v>6700</v>
      </c>
      <c r="X5" s="37">
        <v>6800</v>
      </c>
      <c r="Z5" s="37">
        <v>6900</v>
      </c>
    </row>
    <row r="6" spans="1:238" s="208" customFormat="1">
      <c r="A6" s="228" t="s">
        <v>20</v>
      </c>
      <c r="B6" s="229" t="s">
        <v>0</v>
      </c>
      <c r="C6" s="230" t="s">
        <v>1</v>
      </c>
      <c r="D6" s="564" t="s">
        <v>650</v>
      </c>
      <c r="E6" s="564"/>
      <c r="F6" s="566" t="s">
        <v>328</v>
      </c>
      <c r="G6" s="566"/>
      <c r="H6" s="566" t="s">
        <v>477</v>
      </c>
      <c r="I6" s="566"/>
      <c r="J6" s="566" t="s">
        <v>163</v>
      </c>
      <c r="K6" s="566"/>
      <c r="L6" s="566" t="s">
        <v>759</v>
      </c>
      <c r="M6" s="566"/>
      <c r="N6" s="566" t="s">
        <v>95</v>
      </c>
      <c r="O6" s="566"/>
      <c r="P6" s="566" t="s">
        <v>336</v>
      </c>
      <c r="Q6" s="566"/>
      <c r="R6" s="567">
        <v>39585</v>
      </c>
      <c r="S6" s="566"/>
      <c r="T6" s="566" t="s">
        <v>338</v>
      </c>
      <c r="U6" s="566"/>
      <c r="V6" s="566" t="s">
        <v>468</v>
      </c>
      <c r="W6" s="566"/>
      <c r="X6" s="566" t="s">
        <v>684</v>
      </c>
      <c r="Y6" s="566"/>
      <c r="Z6" s="566" t="s">
        <v>761</v>
      </c>
      <c r="AA6" s="566"/>
      <c r="AB6" s="568" t="s">
        <v>6</v>
      </c>
      <c r="AC6" s="568"/>
      <c r="AD6" s="564" t="s">
        <v>607</v>
      </c>
      <c r="AE6" s="564"/>
      <c r="AF6" s="568" t="s">
        <v>331</v>
      </c>
      <c r="AG6" s="568"/>
      <c r="AH6" s="568" t="s">
        <v>355</v>
      </c>
      <c r="AI6" s="568"/>
      <c r="AJ6" s="564" t="s">
        <v>520</v>
      </c>
      <c r="AK6" s="564"/>
      <c r="AL6" s="564" t="s">
        <v>518</v>
      </c>
      <c r="AM6" s="564"/>
      <c r="AN6" s="564" t="s">
        <v>516</v>
      </c>
      <c r="AO6" s="564"/>
      <c r="AP6" s="564" t="s">
        <v>514</v>
      </c>
      <c r="AQ6" s="564"/>
      <c r="AR6" s="564" t="s">
        <v>687</v>
      </c>
      <c r="AS6" s="564"/>
      <c r="AT6" s="564" t="s">
        <v>692</v>
      </c>
      <c r="AU6" s="564"/>
      <c r="AV6" s="564" t="s">
        <v>30</v>
      </c>
      <c r="AW6" s="565"/>
      <c r="AX6" s="564" t="s">
        <v>32</v>
      </c>
      <c r="AY6" s="564"/>
    </row>
    <row r="7" spans="1:238" s="208" customFormat="1">
      <c r="A7" s="231"/>
      <c r="B7" s="252"/>
      <c r="C7" s="227" t="s">
        <v>16</v>
      </c>
      <c r="D7" s="559" t="s">
        <v>249</v>
      </c>
      <c r="E7" s="559"/>
      <c r="F7" s="563" t="s">
        <v>329</v>
      </c>
      <c r="G7" s="563"/>
      <c r="H7" s="563"/>
      <c r="I7" s="563"/>
      <c r="J7" s="563"/>
      <c r="K7" s="563"/>
      <c r="L7" s="563"/>
      <c r="M7" s="563"/>
      <c r="N7" s="563"/>
      <c r="O7" s="563"/>
      <c r="P7" s="563" t="s">
        <v>337</v>
      </c>
      <c r="Q7" s="563"/>
      <c r="R7" s="563"/>
      <c r="S7" s="563"/>
      <c r="T7" s="563"/>
      <c r="U7" s="563"/>
      <c r="V7" s="563" t="s">
        <v>685</v>
      </c>
      <c r="W7" s="563"/>
      <c r="X7" s="563"/>
      <c r="Y7" s="563"/>
      <c r="Z7" s="563" t="s">
        <v>686</v>
      </c>
      <c r="AA7" s="563"/>
      <c r="AB7" s="562"/>
      <c r="AC7" s="562"/>
      <c r="AD7" s="559" t="s">
        <v>608</v>
      </c>
      <c r="AE7" s="559"/>
      <c r="AF7" s="562" t="s">
        <v>650</v>
      </c>
      <c r="AG7" s="562"/>
      <c r="AH7" s="562"/>
      <c r="AI7" s="562"/>
      <c r="AJ7" s="559" t="s">
        <v>519</v>
      </c>
      <c r="AK7" s="559"/>
      <c r="AL7" s="559" t="s">
        <v>519</v>
      </c>
      <c r="AM7" s="559"/>
      <c r="AN7" s="559" t="s">
        <v>517</v>
      </c>
      <c r="AO7" s="559"/>
      <c r="AP7" s="559" t="s">
        <v>515</v>
      </c>
      <c r="AQ7" s="559"/>
      <c r="AR7" s="559" t="s">
        <v>791</v>
      </c>
      <c r="AS7" s="559"/>
      <c r="AT7" s="559" t="s">
        <v>790</v>
      </c>
      <c r="AU7" s="559"/>
      <c r="AV7" s="559"/>
      <c r="AW7" s="560"/>
      <c r="AX7" s="559"/>
      <c r="AY7" s="559"/>
    </row>
    <row r="8" spans="1:238" s="226" customFormat="1">
      <c r="A8" s="232"/>
      <c r="B8" s="222"/>
      <c r="C8" s="223"/>
      <c r="D8" s="224" t="s">
        <v>28</v>
      </c>
      <c r="E8" s="225" t="s">
        <v>29</v>
      </c>
      <c r="F8" s="224" t="s">
        <v>28</v>
      </c>
      <c r="G8" s="225" t="s">
        <v>29</v>
      </c>
      <c r="H8" s="224" t="s">
        <v>28</v>
      </c>
      <c r="I8" s="225" t="s">
        <v>29</v>
      </c>
      <c r="J8" s="224" t="s">
        <v>28</v>
      </c>
      <c r="K8" s="225" t="s">
        <v>29</v>
      </c>
      <c r="L8" s="224" t="s">
        <v>28</v>
      </c>
      <c r="M8" s="225" t="s">
        <v>29</v>
      </c>
      <c r="N8" s="224" t="s">
        <v>28</v>
      </c>
      <c r="O8" s="225" t="s">
        <v>29</v>
      </c>
      <c r="P8" s="224" t="s">
        <v>28</v>
      </c>
      <c r="Q8" s="225" t="s">
        <v>29</v>
      </c>
      <c r="R8" s="224" t="s">
        <v>28</v>
      </c>
      <c r="S8" s="225" t="s">
        <v>29</v>
      </c>
      <c r="T8" s="224" t="s">
        <v>28</v>
      </c>
      <c r="U8" s="225" t="s">
        <v>29</v>
      </c>
      <c r="V8" s="224" t="s">
        <v>28</v>
      </c>
      <c r="W8" s="225" t="s">
        <v>29</v>
      </c>
      <c r="X8" s="224" t="s">
        <v>28</v>
      </c>
      <c r="Y8" s="225" t="s">
        <v>29</v>
      </c>
      <c r="Z8" s="224" t="s">
        <v>28</v>
      </c>
      <c r="AA8" s="225" t="s">
        <v>29</v>
      </c>
      <c r="AB8" s="224" t="s">
        <v>28</v>
      </c>
      <c r="AC8" s="225" t="s">
        <v>29</v>
      </c>
      <c r="AD8" s="224" t="s">
        <v>28</v>
      </c>
      <c r="AE8" s="225" t="s">
        <v>29</v>
      </c>
      <c r="AF8" s="224" t="s">
        <v>28</v>
      </c>
      <c r="AG8" s="225" t="s">
        <v>29</v>
      </c>
      <c r="AH8" s="224" t="s">
        <v>28</v>
      </c>
      <c r="AI8" s="225" t="s">
        <v>29</v>
      </c>
      <c r="AJ8" s="224" t="s">
        <v>28</v>
      </c>
      <c r="AK8" s="225" t="s">
        <v>29</v>
      </c>
      <c r="AL8" s="224" t="s">
        <v>28</v>
      </c>
      <c r="AM8" s="225" t="s">
        <v>29</v>
      </c>
      <c r="AN8" s="224" t="s">
        <v>28</v>
      </c>
      <c r="AO8" s="225" t="s">
        <v>29</v>
      </c>
      <c r="AP8" s="224" t="s">
        <v>28</v>
      </c>
      <c r="AQ8" s="225" t="s">
        <v>29</v>
      </c>
      <c r="AR8" s="224" t="s">
        <v>28</v>
      </c>
      <c r="AS8" s="225" t="s">
        <v>29</v>
      </c>
      <c r="AT8" s="224" t="s">
        <v>28</v>
      </c>
      <c r="AU8" s="225" t="s">
        <v>29</v>
      </c>
      <c r="AV8" s="224" t="s">
        <v>28</v>
      </c>
      <c r="AW8" s="370" t="s">
        <v>29</v>
      </c>
      <c r="AX8" s="224" t="s">
        <v>28</v>
      </c>
      <c r="AY8" s="225" t="s">
        <v>29</v>
      </c>
    </row>
    <row r="9" spans="1:238" s="34" customFormat="1">
      <c r="A9" s="247" t="s">
        <v>840</v>
      </c>
      <c r="B9" s="248" t="s">
        <v>838</v>
      </c>
      <c r="C9" s="249"/>
      <c r="D9" s="250">
        <v>61298.29</v>
      </c>
      <c r="E9" s="251"/>
      <c r="F9" s="250"/>
      <c r="G9" s="251"/>
      <c r="H9" s="250"/>
      <c r="I9" s="251"/>
      <c r="J9" s="250"/>
      <c r="K9" s="251"/>
      <c r="L9" s="250"/>
      <c r="M9" s="251"/>
      <c r="N9" s="250"/>
      <c r="O9" s="251"/>
      <c r="P9" s="250"/>
      <c r="Q9" s="251"/>
      <c r="R9" s="250"/>
      <c r="S9" s="251"/>
      <c r="T9" s="250"/>
      <c r="U9" s="251"/>
      <c r="V9" s="250"/>
      <c r="W9" s="251"/>
      <c r="X9" s="250"/>
      <c r="Y9" s="251"/>
      <c r="Z9" s="250"/>
      <c r="AA9" s="251"/>
      <c r="AB9" s="250"/>
      <c r="AC9" s="251"/>
      <c r="AD9" s="250">
        <v>732808.11</v>
      </c>
      <c r="AE9" s="251"/>
      <c r="AF9" s="250"/>
      <c r="AG9" s="251"/>
      <c r="AH9" s="250"/>
      <c r="AI9" s="251"/>
      <c r="AJ9" s="250">
        <f>'Regnskap 2017'!AJ66</f>
        <v>950000</v>
      </c>
      <c r="AK9" s="251"/>
      <c r="AL9" s="250">
        <f>'Regnskap 2017'!AL66</f>
        <v>112480</v>
      </c>
      <c r="AM9" s="251"/>
      <c r="AN9" s="250">
        <f>'Regnskap 2017'!AN66</f>
        <v>20000</v>
      </c>
      <c r="AO9" s="251"/>
      <c r="AP9" s="250"/>
      <c r="AQ9" s="251">
        <f>'Regnskap 2017'!AQ63</f>
        <v>1082480</v>
      </c>
      <c r="AR9" s="250"/>
      <c r="AS9" s="251">
        <v>724291.77</v>
      </c>
      <c r="AT9" s="250"/>
      <c r="AU9" s="251">
        <v>69814.63</v>
      </c>
      <c r="AV9" s="250"/>
      <c r="AW9" s="250"/>
      <c r="AX9" s="250"/>
      <c r="AY9" s="251"/>
      <c r="AZ9" s="243">
        <f>+D9-E9+F9-G9+H9-I9+J9-K9+L9-M9+N9-O9+P9-Q9+R9-S9+T9-U9+V9-W9+X9-Y9+Z9-AA9+AB9-AC9+AD9-AE9+AF9-AG9+AH9-AI9+AJ9-AK9+AL9-AM9+AN9-AO9+AP9-AQ9+AR9-AS9+AT9-AU9+AV9-AW9+AX9-AY9</f>
        <v>-1.1641532182693481E-10</v>
      </c>
      <c r="BA9" s="244"/>
      <c r="BB9" s="244"/>
    </row>
    <row r="10" spans="1:238" s="79" customFormat="1">
      <c r="A10" s="524">
        <v>43102</v>
      </c>
      <c r="B10" s="280" t="s">
        <v>1028</v>
      </c>
      <c r="C10" s="285" t="s">
        <v>715</v>
      </c>
      <c r="D10" s="212"/>
      <c r="E10" s="213">
        <v>84.5</v>
      </c>
      <c r="F10" s="212"/>
      <c r="G10" s="213"/>
      <c r="H10" s="212"/>
      <c r="I10" s="213"/>
      <c r="J10" s="212"/>
      <c r="K10" s="213"/>
      <c r="L10" s="212"/>
      <c r="M10" s="213"/>
      <c r="N10" s="212"/>
      <c r="O10" s="213"/>
      <c r="P10" s="212">
        <v>84.5</v>
      </c>
      <c r="Q10" s="213"/>
      <c r="R10" s="212"/>
      <c r="S10" s="213"/>
      <c r="T10" s="212"/>
      <c r="U10" s="213"/>
      <c r="V10" s="212"/>
      <c r="W10" s="213"/>
      <c r="X10" s="212"/>
      <c r="Y10" s="213"/>
      <c r="Z10" s="212"/>
      <c r="AA10" s="213"/>
      <c r="AB10" s="212"/>
      <c r="AC10" s="213"/>
      <c r="AD10" s="212"/>
      <c r="AE10" s="213"/>
      <c r="AF10" s="212"/>
      <c r="AG10" s="213"/>
      <c r="AH10" s="212"/>
      <c r="AI10" s="213"/>
      <c r="AJ10" s="212"/>
      <c r="AK10" s="213"/>
      <c r="AL10" s="212"/>
      <c r="AM10" s="213"/>
      <c r="AN10" s="212"/>
      <c r="AO10" s="213"/>
      <c r="AP10" s="212"/>
      <c r="AQ10" s="213"/>
      <c r="AR10" s="212"/>
      <c r="AS10" s="213"/>
      <c r="AT10" s="212"/>
      <c r="AU10" s="213"/>
      <c r="AV10" s="212"/>
      <c r="AW10" s="372"/>
      <c r="AX10" s="212"/>
      <c r="AY10" s="213"/>
      <c r="AZ10" s="243">
        <f t="shared" ref="AZ10:AZ63" si="0">+D10-E10+F10-G10+H10-I10+J10-K10+L10-M10+N10-O10+P10-Q10+R10-S10+T10-U10+V10-W10+X10-Y10+Z10-AA10+AB10-AC10+AD10-AE10+AF10-AG10+AH10-AI10+AJ10-AK10+AL10-AM10+AN10-AO10+AP10-AQ10+AR10-AS10+AT10-AU10+AV10-AW10+AX10-AY10</f>
        <v>0</v>
      </c>
      <c r="BA10" s="194"/>
      <c r="BB10" s="194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</row>
    <row r="11" spans="1:238" s="79" customFormat="1">
      <c r="A11" s="524">
        <v>43103</v>
      </c>
      <c r="B11" s="280" t="s">
        <v>1108</v>
      </c>
      <c r="C11" s="285" t="s">
        <v>716</v>
      </c>
      <c r="D11" s="406"/>
      <c r="E11" s="215">
        <v>4000</v>
      </c>
      <c r="F11" s="214"/>
      <c r="G11" s="215"/>
      <c r="H11" s="214">
        <v>4000</v>
      </c>
      <c r="I11" s="215"/>
      <c r="J11" s="214"/>
      <c r="K11" s="215"/>
      <c r="L11" s="214"/>
      <c r="M11" s="215"/>
      <c r="N11" s="214"/>
      <c r="O11" s="215"/>
      <c r="P11" s="214"/>
      <c r="Q11" s="215"/>
      <c r="R11" s="214"/>
      <c r="S11" s="215"/>
      <c r="T11" s="214"/>
      <c r="U11" s="215"/>
      <c r="V11" s="214"/>
      <c r="W11" s="215"/>
      <c r="X11" s="214"/>
      <c r="Y11" s="215"/>
      <c r="Z11" s="214"/>
      <c r="AA11" s="215"/>
      <c r="AB11" s="214"/>
      <c r="AC11" s="215"/>
      <c r="AD11" s="214"/>
      <c r="AE11" s="215"/>
      <c r="AF11" s="214"/>
      <c r="AG11" s="215"/>
      <c r="AH11" s="214"/>
      <c r="AI11" s="215"/>
      <c r="AJ11" s="214"/>
      <c r="AK11" s="215"/>
      <c r="AL11" s="214"/>
      <c r="AM11" s="215"/>
      <c r="AN11" s="214"/>
      <c r="AO11" s="215"/>
      <c r="AP11" s="214"/>
      <c r="AQ11" s="215"/>
      <c r="AR11" s="214"/>
      <c r="AS11" s="215"/>
      <c r="AT11" s="214"/>
      <c r="AU11" s="215"/>
      <c r="AV11" s="362"/>
      <c r="AW11" s="373"/>
      <c r="AX11" s="362"/>
      <c r="AY11" s="215"/>
      <c r="AZ11" s="243">
        <f t="shared" si="0"/>
        <v>0</v>
      </c>
      <c r="BA11" s="194"/>
      <c r="BB11" s="194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</row>
    <row r="12" spans="1:238" s="79" customFormat="1">
      <c r="A12" s="524">
        <v>43108</v>
      </c>
      <c r="B12" s="280" t="s">
        <v>1109</v>
      </c>
      <c r="C12" s="285" t="s">
        <v>717</v>
      </c>
      <c r="D12" s="212"/>
      <c r="E12" s="213">
        <v>1139</v>
      </c>
      <c r="F12" s="214"/>
      <c r="G12" s="215"/>
      <c r="H12" s="214"/>
      <c r="I12" s="215"/>
      <c r="J12" s="214"/>
      <c r="K12" s="215"/>
      <c r="L12" s="214"/>
      <c r="M12" s="215"/>
      <c r="N12" s="214"/>
      <c r="O12" s="215"/>
      <c r="P12" s="212">
        <v>1139</v>
      </c>
      <c r="Q12" s="215"/>
      <c r="R12" s="214"/>
      <c r="S12" s="215"/>
      <c r="T12" s="214"/>
      <c r="U12" s="215"/>
      <c r="V12" s="214"/>
      <c r="W12" s="215"/>
      <c r="X12" s="214"/>
      <c r="Y12" s="215"/>
      <c r="Z12" s="214"/>
      <c r="AA12" s="215"/>
      <c r="AB12" s="214"/>
      <c r="AC12" s="215"/>
      <c r="AD12" s="214"/>
      <c r="AE12" s="215"/>
      <c r="AF12" s="214"/>
      <c r="AG12" s="215"/>
      <c r="AH12" s="214"/>
      <c r="AI12" s="215"/>
      <c r="AJ12" s="214"/>
      <c r="AK12" s="215"/>
      <c r="AL12" s="214"/>
      <c r="AM12" s="215"/>
      <c r="AN12" s="214"/>
      <c r="AO12" s="215"/>
      <c r="AP12" s="214"/>
      <c r="AQ12" s="215"/>
      <c r="AR12" s="214"/>
      <c r="AS12" s="215"/>
      <c r="AT12" s="214"/>
      <c r="AU12" s="215"/>
      <c r="AV12" s="362"/>
      <c r="AW12" s="374"/>
      <c r="AX12" s="362"/>
      <c r="AY12" s="363"/>
      <c r="AZ12" s="243">
        <f t="shared" si="0"/>
        <v>0</v>
      </c>
      <c r="BA12" s="194"/>
      <c r="BB12" s="194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</row>
    <row r="13" spans="1:238" s="185" customFormat="1">
      <c r="A13" s="524">
        <v>43136</v>
      </c>
      <c r="B13" s="280" t="s">
        <v>1028</v>
      </c>
      <c r="C13" s="284" t="s">
        <v>718</v>
      </c>
      <c r="D13" s="406" t="s">
        <v>359</v>
      </c>
      <c r="E13" s="466">
        <v>85.75</v>
      </c>
      <c r="F13" s="365"/>
      <c r="G13" s="364"/>
      <c r="H13" s="365"/>
      <c r="I13" s="364"/>
      <c r="J13" s="365"/>
      <c r="K13" s="213"/>
      <c r="L13" s="212"/>
      <c r="M13" s="213"/>
      <c r="N13" s="212"/>
      <c r="O13" s="213"/>
      <c r="P13" s="504">
        <v>85.75</v>
      </c>
      <c r="Q13" s="364"/>
      <c r="R13" s="365"/>
      <c r="S13" s="364"/>
      <c r="T13" s="365"/>
      <c r="U13" s="213"/>
      <c r="V13" s="212"/>
      <c r="W13" s="213"/>
      <c r="X13" s="212"/>
      <c r="Y13" s="213"/>
      <c r="Z13" s="212"/>
      <c r="AA13" s="213"/>
      <c r="AB13" s="212"/>
      <c r="AC13" s="213"/>
      <c r="AD13" s="212"/>
      <c r="AE13" s="213"/>
      <c r="AF13" s="212"/>
      <c r="AG13" s="213"/>
      <c r="AH13" s="212"/>
      <c r="AI13" s="213"/>
      <c r="AJ13" s="212"/>
      <c r="AK13" s="213"/>
      <c r="AL13" s="212"/>
      <c r="AM13" s="213"/>
      <c r="AN13" s="212"/>
      <c r="AO13" s="213"/>
      <c r="AP13" s="212"/>
      <c r="AQ13" s="213"/>
      <c r="AR13" s="212"/>
      <c r="AS13" s="213"/>
      <c r="AT13" s="212"/>
      <c r="AU13" s="213"/>
      <c r="AV13" s="365"/>
      <c r="AW13" s="374"/>
      <c r="AX13" s="365"/>
      <c r="AY13" s="364"/>
      <c r="AZ13" s="243" t="e">
        <f t="shared" si="0"/>
        <v>#VALUE!</v>
      </c>
      <c r="BA13" s="194"/>
      <c r="BB13" s="194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</row>
    <row r="14" spans="1:238" s="79" customFormat="1">
      <c r="A14" s="525">
        <v>43153</v>
      </c>
      <c r="B14" s="404" t="s">
        <v>1110</v>
      </c>
      <c r="C14" s="411" t="s">
        <v>719</v>
      </c>
      <c r="D14" s="406">
        <v>300</v>
      </c>
      <c r="E14" s="215"/>
      <c r="F14" s="214"/>
      <c r="G14" s="215"/>
      <c r="H14" s="214"/>
      <c r="I14" s="215"/>
      <c r="J14" s="214"/>
      <c r="K14" s="215"/>
      <c r="L14" s="214"/>
      <c r="M14" s="215"/>
      <c r="N14" s="214"/>
      <c r="O14" s="215"/>
      <c r="P14" s="214"/>
      <c r="Q14" s="215"/>
      <c r="R14" s="214"/>
      <c r="S14" s="215"/>
      <c r="T14" s="214"/>
      <c r="U14" s="215"/>
      <c r="V14" s="214"/>
      <c r="W14" s="215"/>
      <c r="X14" s="214"/>
      <c r="Y14" s="215"/>
      <c r="Z14" s="214"/>
      <c r="AA14" s="215"/>
      <c r="AB14" s="214"/>
      <c r="AC14" s="468">
        <v>300</v>
      </c>
      <c r="AD14" s="214"/>
      <c r="AE14" s="215"/>
      <c r="AF14" s="214"/>
      <c r="AG14" s="215"/>
      <c r="AH14" s="214"/>
      <c r="AI14" s="215"/>
      <c r="AJ14" s="214"/>
      <c r="AK14" s="215"/>
      <c r="AL14" s="214"/>
      <c r="AM14" s="215"/>
      <c r="AN14" s="214"/>
      <c r="AO14" s="215"/>
      <c r="AP14" s="214"/>
      <c r="AQ14" s="215"/>
      <c r="AR14" s="214"/>
      <c r="AS14" s="215"/>
      <c r="AT14" s="214"/>
      <c r="AU14" s="215"/>
      <c r="AV14" s="362"/>
      <c r="AW14" s="373"/>
      <c r="AX14" s="362"/>
      <c r="AY14" s="215"/>
      <c r="AZ14" s="243">
        <f t="shared" si="0"/>
        <v>0</v>
      </c>
      <c r="BA14" s="194"/>
      <c r="BB14" s="194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</row>
    <row r="15" spans="1:238" s="79" customFormat="1">
      <c r="A15" s="525">
        <v>43160</v>
      </c>
      <c r="B15" s="404" t="s">
        <v>1111</v>
      </c>
      <c r="C15" s="411" t="s">
        <v>720</v>
      </c>
      <c r="D15" s="406">
        <v>2684.25</v>
      </c>
      <c r="E15" s="466"/>
      <c r="F15" s="365"/>
      <c r="G15" s="364"/>
      <c r="H15" s="365"/>
      <c r="I15" s="364"/>
      <c r="J15" s="365"/>
      <c r="K15" s="213"/>
      <c r="L15" s="212"/>
      <c r="M15" s="213"/>
      <c r="N15" s="212"/>
      <c r="O15" s="213"/>
      <c r="P15" s="365"/>
      <c r="Q15" s="364"/>
      <c r="R15" s="365"/>
      <c r="S15" s="364"/>
      <c r="T15" s="365"/>
      <c r="U15" s="213"/>
      <c r="V15" s="212"/>
      <c r="W15" s="213"/>
      <c r="X15" s="212"/>
      <c r="Y15" s="213"/>
      <c r="Z15" s="212"/>
      <c r="AA15" s="213"/>
      <c r="AB15" s="212"/>
      <c r="AC15" s="213">
        <v>2684.25</v>
      </c>
      <c r="AD15" s="212"/>
      <c r="AE15" s="213"/>
      <c r="AF15" s="212"/>
      <c r="AG15" s="213"/>
      <c r="AH15" s="212"/>
      <c r="AI15" s="213"/>
      <c r="AJ15" s="212"/>
      <c r="AK15" s="213"/>
      <c r="AL15" s="212"/>
      <c r="AM15" s="213"/>
      <c r="AN15" s="212"/>
      <c r="AO15" s="213"/>
      <c r="AP15" s="212"/>
      <c r="AQ15" s="213"/>
      <c r="AR15" s="212"/>
      <c r="AS15" s="213"/>
      <c r="AT15" s="212"/>
      <c r="AU15" s="213"/>
      <c r="AV15" s="466"/>
      <c r="AW15" s="374"/>
      <c r="AX15" s="365"/>
      <c r="AY15" s="364"/>
      <c r="AZ15" s="243">
        <f t="shared" si="0"/>
        <v>0</v>
      </c>
      <c r="BA15" s="194"/>
      <c r="BB15" s="194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</row>
    <row r="16" spans="1:238" s="79" customFormat="1">
      <c r="A16" s="524">
        <v>43160</v>
      </c>
      <c r="B16" s="280" t="s">
        <v>1028</v>
      </c>
      <c r="C16" s="285" t="s">
        <v>720</v>
      </c>
      <c r="D16" s="214"/>
      <c r="E16" s="215">
        <v>80</v>
      </c>
      <c r="F16" s="362"/>
      <c r="G16" s="363"/>
      <c r="H16" s="362"/>
      <c r="I16" s="363"/>
      <c r="J16" s="362"/>
      <c r="K16" s="215"/>
      <c r="L16" s="214"/>
      <c r="M16" s="215"/>
      <c r="N16" s="214"/>
      <c r="O16" s="215"/>
      <c r="P16" s="215">
        <v>80</v>
      </c>
      <c r="Q16" s="363"/>
      <c r="R16" s="362"/>
      <c r="S16" s="363"/>
      <c r="T16" s="362"/>
      <c r="U16" s="215"/>
      <c r="V16" s="214"/>
      <c r="W16" s="215"/>
      <c r="X16" s="214"/>
      <c r="Y16" s="215"/>
      <c r="Z16" s="214"/>
      <c r="AA16" s="215"/>
      <c r="AB16" s="214"/>
      <c r="AC16" s="215"/>
      <c r="AD16" s="214"/>
      <c r="AE16" s="215"/>
      <c r="AF16" s="214"/>
      <c r="AG16" s="215"/>
      <c r="AH16" s="214"/>
      <c r="AI16" s="215"/>
      <c r="AJ16" s="214"/>
      <c r="AK16" s="215"/>
      <c r="AL16" s="214"/>
      <c r="AM16" s="215"/>
      <c r="AN16" s="214"/>
      <c r="AO16" s="215"/>
      <c r="AP16" s="214"/>
      <c r="AQ16" s="215"/>
      <c r="AR16" s="214"/>
      <c r="AS16" s="215"/>
      <c r="AT16" s="214"/>
      <c r="AU16" s="215"/>
      <c r="AV16" s="362"/>
      <c r="AW16" s="373"/>
      <c r="AX16" s="362"/>
      <c r="AY16" s="363"/>
      <c r="AZ16" s="243">
        <f t="shared" si="0"/>
        <v>0</v>
      </c>
      <c r="BA16" s="194"/>
      <c r="BB16" s="194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</row>
    <row r="17" spans="1:238" s="498" customFormat="1">
      <c r="A17" s="526">
        <v>43171</v>
      </c>
      <c r="B17" s="488" t="s">
        <v>1112</v>
      </c>
      <c r="C17" s="489" t="s">
        <v>721</v>
      </c>
      <c r="D17" s="490"/>
      <c r="E17" s="491">
        <v>751</v>
      </c>
      <c r="F17" s="492"/>
      <c r="G17" s="493"/>
      <c r="H17" s="492" t="s">
        <v>359</v>
      </c>
      <c r="I17" s="493"/>
      <c r="J17" s="492"/>
      <c r="K17" s="491"/>
      <c r="L17" s="490"/>
      <c r="M17" s="491"/>
      <c r="N17" s="490"/>
      <c r="O17" s="491"/>
      <c r="P17" s="492">
        <v>751</v>
      </c>
      <c r="Q17" s="493"/>
      <c r="R17" s="492"/>
      <c r="S17" s="493"/>
      <c r="T17" s="492">
        <v>751</v>
      </c>
      <c r="U17" s="491"/>
      <c r="V17" s="490"/>
      <c r="W17" s="491"/>
      <c r="X17" s="490"/>
      <c r="Y17" s="491"/>
      <c r="Z17" s="490"/>
      <c r="AA17" s="491"/>
      <c r="AB17" s="490"/>
      <c r="AC17" s="494"/>
      <c r="AD17" s="490"/>
      <c r="AE17" s="491"/>
      <c r="AF17" s="490"/>
      <c r="AG17" s="491"/>
      <c r="AH17" s="490"/>
      <c r="AI17" s="491"/>
      <c r="AJ17" s="490"/>
      <c r="AK17" s="491"/>
      <c r="AL17" s="490"/>
      <c r="AM17" s="491"/>
      <c r="AN17" s="490"/>
      <c r="AO17" s="491"/>
      <c r="AP17" s="490"/>
      <c r="AQ17" s="491"/>
      <c r="AR17" s="490"/>
      <c r="AS17" s="491"/>
      <c r="AT17" s="490"/>
      <c r="AU17" s="491"/>
      <c r="AV17" s="492"/>
      <c r="AW17" s="495"/>
      <c r="AX17" s="492"/>
      <c r="AY17" s="493"/>
      <c r="AZ17" s="496" t="e">
        <f t="shared" si="0"/>
        <v>#VALUE!</v>
      </c>
      <c r="BA17" s="497"/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499"/>
      <c r="EJ17" s="499"/>
      <c r="EK17" s="499"/>
      <c r="EL17" s="499"/>
      <c r="EM17" s="499"/>
      <c r="EN17" s="499"/>
      <c r="EO17" s="499"/>
      <c r="EP17" s="499"/>
      <c r="EQ17" s="499"/>
      <c r="ER17" s="499"/>
      <c r="ES17" s="499"/>
      <c r="ET17" s="499"/>
      <c r="EU17" s="499"/>
      <c r="EV17" s="499"/>
      <c r="EW17" s="499"/>
      <c r="EX17" s="499"/>
      <c r="EY17" s="499"/>
      <c r="EZ17" s="499"/>
      <c r="FA17" s="499"/>
      <c r="FB17" s="499"/>
      <c r="FC17" s="499"/>
      <c r="FD17" s="499"/>
      <c r="FE17" s="499"/>
      <c r="FF17" s="499"/>
      <c r="FG17" s="499"/>
      <c r="FH17" s="499"/>
      <c r="FI17" s="499"/>
      <c r="FJ17" s="499"/>
      <c r="FK17" s="499"/>
      <c r="FL17" s="499"/>
      <c r="FM17" s="499"/>
      <c r="FN17" s="499"/>
      <c r="FO17" s="499"/>
      <c r="FP17" s="499"/>
      <c r="FQ17" s="499"/>
      <c r="FR17" s="499"/>
      <c r="FS17" s="499"/>
      <c r="FT17" s="499"/>
      <c r="FU17" s="499"/>
      <c r="FV17" s="499"/>
      <c r="FW17" s="499"/>
      <c r="FX17" s="499"/>
      <c r="FY17" s="499"/>
      <c r="FZ17" s="499"/>
      <c r="GA17" s="499"/>
      <c r="GB17" s="499"/>
      <c r="GC17" s="499"/>
      <c r="GD17" s="499"/>
      <c r="GE17" s="499"/>
      <c r="GF17" s="499"/>
      <c r="GG17" s="499"/>
      <c r="GH17" s="499"/>
      <c r="GI17" s="499"/>
      <c r="GJ17" s="499"/>
      <c r="GK17" s="499"/>
      <c r="GL17" s="499"/>
      <c r="GM17" s="499"/>
      <c r="GN17" s="499"/>
      <c r="GO17" s="499"/>
      <c r="GP17" s="499"/>
      <c r="GQ17" s="499"/>
      <c r="GR17" s="499"/>
      <c r="GS17" s="499"/>
      <c r="GT17" s="499"/>
      <c r="GU17" s="499"/>
      <c r="GV17" s="499"/>
      <c r="GW17" s="499"/>
      <c r="GX17" s="499"/>
      <c r="GY17" s="499"/>
      <c r="GZ17" s="499"/>
      <c r="HA17" s="499"/>
      <c r="HB17" s="499"/>
      <c r="HC17" s="499"/>
      <c r="HD17" s="499"/>
      <c r="HE17" s="499"/>
      <c r="HF17" s="499"/>
      <c r="HG17" s="499"/>
      <c r="HH17" s="499"/>
      <c r="HI17" s="499"/>
      <c r="HJ17" s="499"/>
      <c r="HK17" s="499"/>
      <c r="HL17" s="499"/>
      <c r="HM17" s="499"/>
      <c r="HN17" s="499"/>
      <c r="HO17" s="499"/>
      <c r="HP17" s="499"/>
      <c r="HQ17" s="499"/>
      <c r="HR17" s="499"/>
      <c r="HS17" s="499"/>
      <c r="HT17" s="499"/>
      <c r="HU17" s="499"/>
      <c r="HV17" s="499"/>
      <c r="HW17" s="499"/>
      <c r="HX17" s="499"/>
      <c r="HY17" s="499"/>
      <c r="HZ17" s="499"/>
      <c r="IA17" s="499"/>
      <c r="IB17" s="499"/>
      <c r="IC17" s="499"/>
      <c r="ID17" s="499"/>
    </row>
    <row r="18" spans="1:238" s="79" customFormat="1">
      <c r="A18" s="524">
        <v>43175</v>
      </c>
      <c r="B18" s="280" t="s">
        <v>1113</v>
      </c>
      <c r="C18" s="285" t="s">
        <v>722</v>
      </c>
      <c r="D18" s="214"/>
      <c r="E18" s="215">
        <v>632.6</v>
      </c>
      <c r="F18" s="362"/>
      <c r="G18" s="363"/>
      <c r="H18" s="503">
        <v>632.6</v>
      </c>
      <c r="I18" s="363"/>
      <c r="J18" s="362"/>
      <c r="K18" s="215"/>
      <c r="L18" s="214"/>
      <c r="M18" s="215"/>
      <c r="N18" s="214"/>
      <c r="O18" s="215"/>
      <c r="P18" s="362"/>
      <c r="Q18" s="363"/>
      <c r="R18" s="362"/>
      <c r="S18" s="363"/>
      <c r="T18" s="362"/>
      <c r="U18" s="215"/>
      <c r="V18" s="214"/>
      <c r="W18" s="215"/>
      <c r="X18" s="214"/>
      <c r="Y18" s="215"/>
      <c r="Z18" s="214"/>
      <c r="AA18" s="215"/>
      <c r="AB18" s="214"/>
      <c r="AC18" s="215"/>
      <c r="AD18" s="214"/>
      <c r="AE18" s="215"/>
      <c r="AF18" s="214"/>
      <c r="AG18" s="215"/>
      <c r="AH18" s="214"/>
      <c r="AI18" s="215"/>
      <c r="AJ18" s="214"/>
      <c r="AK18" s="215"/>
      <c r="AL18" s="214"/>
      <c r="AM18" s="215"/>
      <c r="AN18" s="214"/>
      <c r="AO18" s="215"/>
      <c r="AP18" s="214"/>
      <c r="AQ18" s="215"/>
      <c r="AR18" s="214"/>
      <c r="AS18" s="215"/>
      <c r="AT18" s="214"/>
      <c r="AU18" s="215"/>
      <c r="AV18" s="362"/>
      <c r="AW18" s="373"/>
      <c r="AX18" s="362"/>
      <c r="AY18" s="363"/>
      <c r="AZ18" s="243">
        <f t="shared" si="0"/>
        <v>0</v>
      </c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</row>
    <row r="19" spans="1:238" s="79" customFormat="1">
      <c r="A19" s="527">
        <v>43175</v>
      </c>
      <c r="B19" s="280" t="s">
        <v>1114</v>
      </c>
      <c r="C19" s="284" t="s">
        <v>723</v>
      </c>
      <c r="D19" s="214"/>
      <c r="E19" s="215">
        <v>761.9</v>
      </c>
      <c r="F19" s="362"/>
      <c r="G19" s="363"/>
      <c r="H19" s="362"/>
      <c r="I19" s="363"/>
      <c r="J19" s="362"/>
      <c r="K19" s="215"/>
      <c r="L19" s="214"/>
      <c r="M19" s="215"/>
      <c r="N19" s="214"/>
      <c r="O19" s="215"/>
      <c r="P19" s="362"/>
      <c r="Q19" s="363"/>
      <c r="R19" s="362"/>
      <c r="S19" s="363"/>
      <c r="T19" s="362"/>
      <c r="U19" s="215"/>
      <c r="V19" s="214"/>
      <c r="W19" s="215"/>
      <c r="X19" s="214"/>
      <c r="Y19" s="215"/>
      <c r="Z19" s="214"/>
      <c r="AA19" s="215"/>
      <c r="AB19" s="214"/>
      <c r="AC19" s="215"/>
      <c r="AD19" s="214"/>
      <c r="AE19" s="215"/>
      <c r="AF19" s="214"/>
      <c r="AG19" s="215"/>
      <c r="AH19" s="214"/>
      <c r="AI19" s="215"/>
      <c r="AJ19" s="214"/>
      <c r="AK19" s="215"/>
      <c r="AL19" s="214"/>
      <c r="AM19" s="215"/>
      <c r="AN19" s="214"/>
      <c r="AO19" s="215"/>
      <c r="AP19" s="214"/>
      <c r="AQ19" s="215"/>
      <c r="AR19" s="214"/>
      <c r="AS19" s="215"/>
      <c r="AT19" s="214"/>
      <c r="AU19" s="215"/>
      <c r="AV19" s="362"/>
      <c r="AW19" s="373"/>
      <c r="AX19" s="362"/>
      <c r="AY19" s="363"/>
      <c r="AZ19" s="243">
        <f t="shared" si="0"/>
        <v>-761.9</v>
      </c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</row>
    <row r="20" spans="1:238" s="385" customFormat="1">
      <c r="A20" s="528">
        <v>43193</v>
      </c>
      <c r="B20" s="404" t="s">
        <v>1115</v>
      </c>
      <c r="C20" s="405" t="s">
        <v>724</v>
      </c>
      <c r="D20" s="406">
        <v>18800</v>
      </c>
      <c r="E20" s="215"/>
      <c r="F20" s="214"/>
      <c r="G20" s="215"/>
      <c r="H20" s="214"/>
      <c r="I20" s="215"/>
      <c r="J20" s="214"/>
      <c r="K20" s="215"/>
      <c r="L20" s="214"/>
      <c r="M20" s="215"/>
      <c r="N20" s="214"/>
      <c r="O20" s="215"/>
      <c r="P20" s="214"/>
      <c r="Q20" s="215"/>
      <c r="R20" s="214"/>
      <c r="S20" s="215"/>
      <c r="T20" s="214"/>
      <c r="U20" s="215"/>
      <c r="V20" s="214"/>
      <c r="W20" s="215"/>
      <c r="X20" s="214"/>
      <c r="Y20" s="215"/>
      <c r="Z20" s="214"/>
      <c r="AA20" s="215"/>
      <c r="AB20" s="214"/>
      <c r="AC20" s="215">
        <v>18800</v>
      </c>
      <c r="AD20" s="214"/>
      <c r="AE20" s="215"/>
      <c r="AF20" s="214"/>
      <c r="AG20" s="215"/>
      <c r="AH20" s="214"/>
      <c r="AI20" s="215"/>
      <c r="AJ20" s="214"/>
      <c r="AK20" s="215"/>
      <c r="AL20" s="214"/>
      <c r="AM20" s="215"/>
      <c r="AN20" s="214"/>
      <c r="AO20" s="215"/>
      <c r="AP20" s="214"/>
      <c r="AQ20" s="215"/>
      <c r="AR20" s="214"/>
      <c r="AS20" s="215"/>
      <c r="AT20" s="214"/>
      <c r="AU20" s="215"/>
      <c r="AV20" s="214"/>
      <c r="AW20" s="319"/>
      <c r="AX20" s="214"/>
      <c r="AY20" s="215"/>
      <c r="AZ20" s="243">
        <f t="shared" si="0"/>
        <v>0</v>
      </c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</row>
    <row r="21" spans="1:238" s="79" customFormat="1">
      <c r="A21" s="527">
        <v>43193</v>
      </c>
      <c r="B21" s="280" t="s">
        <v>1028</v>
      </c>
      <c r="C21" s="284" t="s">
        <v>724</v>
      </c>
      <c r="D21" s="214"/>
      <c r="E21" s="215">
        <v>90.5</v>
      </c>
      <c r="F21" s="362"/>
      <c r="G21" s="363"/>
      <c r="H21" s="362"/>
      <c r="I21" s="363"/>
      <c r="J21" s="362"/>
      <c r="K21" s="215"/>
      <c r="L21" s="214"/>
      <c r="M21" s="215"/>
      <c r="N21" s="214"/>
      <c r="O21" s="215"/>
      <c r="P21" s="362">
        <v>90.5</v>
      </c>
      <c r="Q21" s="363"/>
      <c r="R21" s="362"/>
      <c r="S21" s="363"/>
      <c r="T21" s="362"/>
      <c r="U21" s="215"/>
      <c r="V21" s="214"/>
      <c r="W21" s="215"/>
      <c r="X21" s="214"/>
      <c r="Y21" s="215"/>
      <c r="Z21" s="214"/>
      <c r="AA21" s="215"/>
      <c r="AB21" s="214"/>
      <c r="AC21" s="215"/>
      <c r="AD21" s="214"/>
      <c r="AE21" s="215"/>
      <c r="AF21" s="214"/>
      <c r="AG21" s="215"/>
      <c r="AH21" s="214"/>
      <c r="AI21" s="215"/>
      <c r="AJ21" s="214"/>
      <c r="AK21" s="215"/>
      <c r="AL21" s="214"/>
      <c r="AM21" s="215"/>
      <c r="AN21" s="214"/>
      <c r="AO21" s="215"/>
      <c r="AP21" s="214"/>
      <c r="AQ21" s="215"/>
      <c r="AR21" s="214"/>
      <c r="AS21" s="215"/>
      <c r="AT21" s="214"/>
      <c r="AU21" s="215"/>
      <c r="AV21" s="362"/>
      <c r="AW21" s="373"/>
      <c r="AX21" s="362"/>
      <c r="AY21" s="363"/>
      <c r="AZ21" s="243">
        <f t="shared" si="0"/>
        <v>0</v>
      </c>
    </row>
    <row r="22" spans="1:238" s="79" customFormat="1">
      <c r="A22" s="528">
        <v>43222</v>
      </c>
      <c r="B22" s="404" t="s">
        <v>1116</v>
      </c>
      <c r="C22" s="405" t="s">
        <v>725</v>
      </c>
      <c r="D22" s="406">
        <v>10943.87</v>
      </c>
      <c r="E22" s="323" t="s">
        <v>359</v>
      </c>
      <c r="F22" s="362"/>
      <c r="G22" s="363"/>
      <c r="H22" s="362"/>
      <c r="I22" s="363"/>
      <c r="J22" s="362"/>
      <c r="K22" s="215"/>
      <c r="L22" s="214"/>
      <c r="M22" s="215"/>
      <c r="N22" s="214"/>
      <c r="O22" s="215"/>
      <c r="P22" s="362"/>
      <c r="Q22" s="363"/>
      <c r="R22" s="362"/>
      <c r="S22" s="363"/>
      <c r="T22" s="362"/>
      <c r="U22" s="215"/>
      <c r="V22" s="214"/>
      <c r="W22" s="215"/>
      <c r="X22" s="214"/>
      <c r="Y22" s="215"/>
      <c r="Z22" s="214"/>
      <c r="AA22" s="215"/>
      <c r="AB22" s="214"/>
      <c r="AC22" s="215">
        <v>10943.87</v>
      </c>
      <c r="AD22" s="214"/>
      <c r="AE22" s="215"/>
      <c r="AF22" s="214"/>
      <c r="AG22" s="215"/>
      <c r="AH22" s="214"/>
      <c r="AI22" s="215"/>
      <c r="AJ22" s="214"/>
      <c r="AK22" s="215"/>
      <c r="AL22" s="214"/>
      <c r="AM22" s="215"/>
      <c r="AN22" s="214"/>
      <c r="AO22" s="215"/>
      <c r="AP22" s="214"/>
      <c r="AQ22" s="215"/>
      <c r="AR22" s="214"/>
      <c r="AS22" s="215"/>
      <c r="AT22" s="214"/>
      <c r="AU22" s="215"/>
      <c r="AV22" s="362"/>
      <c r="AW22" s="373"/>
      <c r="AX22" s="362"/>
      <c r="AY22" s="363"/>
      <c r="AZ22" s="243" t="e">
        <f t="shared" si="0"/>
        <v>#VALUE!</v>
      </c>
    </row>
    <row r="23" spans="1:238" s="385" customFormat="1">
      <c r="A23" s="527">
        <v>43222</v>
      </c>
      <c r="B23" s="280" t="s">
        <v>1028</v>
      </c>
      <c r="C23" s="284" t="s">
        <v>725</v>
      </c>
      <c r="D23" s="214"/>
      <c r="E23" s="323">
        <v>92</v>
      </c>
      <c r="F23" s="214"/>
      <c r="G23" s="215"/>
      <c r="H23" s="467" t="s">
        <v>359</v>
      </c>
      <c r="I23" s="215"/>
      <c r="J23" s="362"/>
      <c r="K23" s="215"/>
      <c r="L23" s="214"/>
      <c r="M23" s="215"/>
      <c r="N23" s="214"/>
      <c r="O23" s="215"/>
      <c r="P23" s="214">
        <v>92</v>
      </c>
      <c r="Q23" s="215"/>
      <c r="R23" s="214"/>
      <c r="S23" s="215"/>
      <c r="T23" s="214"/>
      <c r="U23" s="215"/>
      <c r="V23" s="214"/>
      <c r="W23" s="215"/>
      <c r="X23" s="214"/>
      <c r="Y23" s="215"/>
      <c r="Z23" s="214"/>
      <c r="AA23" s="215"/>
      <c r="AB23" s="214"/>
      <c r="AC23" s="215"/>
      <c r="AD23" s="214"/>
      <c r="AE23" s="215"/>
      <c r="AF23" s="214"/>
      <c r="AG23" s="215"/>
      <c r="AH23" s="214"/>
      <c r="AI23" s="215"/>
      <c r="AJ23" s="214"/>
      <c r="AK23" s="215"/>
      <c r="AL23" s="214"/>
      <c r="AM23" s="215"/>
      <c r="AN23" s="214"/>
      <c r="AO23" s="215"/>
      <c r="AP23" s="214"/>
      <c r="AQ23" s="215"/>
      <c r="AR23" s="214"/>
      <c r="AS23" s="215"/>
      <c r="AT23" s="214"/>
      <c r="AU23" s="215"/>
      <c r="AV23" s="214"/>
      <c r="AW23" s="319"/>
      <c r="AX23" s="214"/>
      <c r="AY23" s="215"/>
      <c r="AZ23" s="243" t="e">
        <f t="shared" si="0"/>
        <v>#VALUE!</v>
      </c>
    </row>
    <row r="24" spans="1:238" s="498" customFormat="1">
      <c r="A24" s="529">
        <v>43243</v>
      </c>
      <c r="B24" s="488" t="s">
        <v>1117</v>
      </c>
      <c r="C24" s="489" t="s">
        <v>726</v>
      </c>
      <c r="D24" s="501"/>
      <c r="E24" s="491">
        <v>1139</v>
      </c>
      <c r="F24" s="492"/>
      <c r="G24" s="493"/>
      <c r="H24" s="492"/>
      <c r="I24" s="493"/>
      <c r="J24" s="492"/>
      <c r="K24" s="491"/>
      <c r="L24" s="490"/>
      <c r="M24" s="491"/>
      <c r="N24" s="490"/>
      <c r="O24" s="491"/>
      <c r="P24" s="492">
        <v>1139</v>
      </c>
      <c r="Q24" s="493"/>
      <c r="R24" s="492"/>
      <c r="S24" s="493"/>
      <c r="T24" s="492"/>
      <c r="U24" s="491"/>
      <c r="V24" s="490"/>
      <c r="W24" s="491"/>
      <c r="X24" s="490"/>
      <c r="Y24" s="491"/>
      <c r="Z24" s="490"/>
      <c r="AA24" s="491"/>
      <c r="AB24" s="490"/>
      <c r="AC24" s="491"/>
      <c r="AD24" s="490"/>
      <c r="AE24" s="491"/>
      <c r="AF24" s="490"/>
      <c r="AG24" s="491"/>
      <c r="AH24" s="490"/>
      <c r="AI24" s="491"/>
      <c r="AJ24" s="490"/>
      <c r="AK24" s="491"/>
      <c r="AL24" s="490"/>
      <c r="AM24" s="491"/>
      <c r="AN24" s="490"/>
      <c r="AO24" s="491"/>
      <c r="AP24" s="490"/>
      <c r="AQ24" s="491"/>
      <c r="AR24" s="490"/>
      <c r="AS24" s="491"/>
      <c r="AT24" s="490"/>
      <c r="AU24" s="491"/>
      <c r="AV24" s="492"/>
      <c r="AW24" s="495"/>
      <c r="AX24" s="492"/>
      <c r="AY24" s="493"/>
      <c r="AZ24" s="496">
        <f t="shared" si="0"/>
        <v>0</v>
      </c>
    </row>
    <row r="25" spans="1:238" s="79" customFormat="1">
      <c r="A25" s="527">
        <v>43243</v>
      </c>
      <c r="B25" s="280" t="s">
        <v>1118</v>
      </c>
      <c r="C25" s="284" t="s">
        <v>727</v>
      </c>
      <c r="D25" s="406" t="s">
        <v>359</v>
      </c>
      <c r="E25" s="323">
        <v>1316</v>
      </c>
      <c r="F25" s="362"/>
      <c r="G25" s="363"/>
      <c r="H25" s="362"/>
      <c r="I25" s="363"/>
      <c r="J25" s="362">
        <v>1316</v>
      </c>
      <c r="K25" s="215"/>
      <c r="L25" s="214"/>
      <c r="M25" s="215"/>
      <c r="N25" s="214"/>
      <c r="O25" s="215"/>
      <c r="P25" s="362"/>
      <c r="Q25" s="363"/>
      <c r="R25" s="362"/>
      <c r="S25" s="363"/>
      <c r="T25" s="362"/>
      <c r="U25" s="215"/>
      <c r="V25" s="214"/>
      <c r="W25" s="215"/>
      <c r="X25" s="214"/>
      <c r="Y25" s="215"/>
      <c r="Z25" s="214"/>
      <c r="AA25" s="215"/>
      <c r="AB25" s="214"/>
      <c r="AC25" s="215"/>
      <c r="AD25" s="214"/>
      <c r="AE25" s="215"/>
      <c r="AF25" s="214"/>
      <c r="AG25" s="215"/>
      <c r="AH25" s="214"/>
      <c r="AI25" s="215"/>
      <c r="AJ25" s="214"/>
      <c r="AK25" s="215"/>
      <c r="AL25" s="214"/>
      <c r="AM25" s="215"/>
      <c r="AN25" s="214"/>
      <c r="AO25" s="215"/>
      <c r="AP25" s="214"/>
      <c r="AQ25" s="215"/>
      <c r="AR25" s="214"/>
      <c r="AS25" s="215"/>
      <c r="AT25" s="214"/>
      <c r="AU25" s="215"/>
      <c r="AV25" s="362"/>
      <c r="AW25" s="373"/>
      <c r="AX25" s="362"/>
      <c r="AY25" s="363"/>
      <c r="AZ25" s="243" t="e">
        <f t="shared" si="0"/>
        <v>#VALUE!</v>
      </c>
      <c r="BB25" s="277"/>
    </row>
    <row r="26" spans="1:238" s="79" customFormat="1">
      <c r="A26" s="527">
        <v>43243</v>
      </c>
      <c r="B26" s="280" t="s">
        <v>1078</v>
      </c>
      <c r="C26" s="284" t="s">
        <v>728</v>
      </c>
      <c r="D26" s="214"/>
      <c r="E26" s="215">
        <v>3904.8</v>
      </c>
      <c r="F26" s="362"/>
      <c r="G26" s="363"/>
      <c r="H26" s="362"/>
      <c r="I26" s="363"/>
      <c r="J26" s="214">
        <v>3904.8</v>
      </c>
      <c r="K26" s="215"/>
      <c r="L26" s="214"/>
      <c r="M26" s="215"/>
      <c r="N26" s="214"/>
      <c r="O26" s="215"/>
      <c r="P26" s="362"/>
      <c r="Q26" s="363"/>
      <c r="R26" s="362"/>
      <c r="S26" s="363"/>
      <c r="T26" s="362"/>
      <c r="U26" s="215"/>
      <c r="V26" s="214"/>
      <c r="W26" s="215"/>
      <c r="X26" s="214"/>
      <c r="Y26" s="215"/>
      <c r="Z26" s="214"/>
      <c r="AA26" s="215"/>
      <c r="AB26" s="214"/>
      <c r="AC26" s="215"/>
      <c r="AD26" s="214"/>
      <c r="AE26" s="215"/>
      <c r="AF26" s="214"/>
      <c r="AG26" s="215"/>
      <c r="AH26" s="214"/>
      <c r="AI26" s="215"/>
      <c r="AJ26" s="214"/>
      <c r="AK26" s="215"/>
      <c r="AL26" s="214"/>
      <c r="AM26" s="215"/>
      <c r="AN26" s="214"/>
      <c r="AO26" s="215"/>
      <c r="AP26" s="214"/>
      <c r="AQ26" s="215"/>
      <c r="AR26" s="214"/>
      <c r="AS26" s="215"/>
      <c r="AT26" s="214"/>
      <c r="AU26" s="215"/>
      <c r="AV26" s="214"/>
      <c r="AW26" s="319"/>
      <c r="AX26" s="214"/>
      <c r="AY26" s="215"/>
      <c r="AZ26" s="243">
        <f t="shared" si="0"/>
        <v>0</v>
      </c>
    </row>
    <row r="27" spans="1:238" s="79" customFormat="1">
      <c r="A27" s="527">
        <v>43252</v>
      </c>
      <c r="B27" s="280" t="s">
        <v>1028</v>
      </c>
      <c r="C27" s="285" t="s">
        <v>729</v>
      </c>
      <c r="D27" s="214"/>
      <c r="E27" s="215">
        <v>139.5</v>
      </c>
      <c r="F27" s="214"/>
      <c r="G27" s="215"/>
      <c r="H27" s="214"/>
      <c r="I27" s="215"/>
      <c r="K27" s="215"/>
      <c r="L27" s="214"/>
      <c r="M27" s="215"/>
      <c r="N27" s="214"/>
      <c r="O27" s="215"/>
      <c r="P27" s="362">
        <v>139.5</v>
      </c>
      <c r="Q27" s="363"/>
      <c r="R27" s="362"/>
      <c r="S27" s="363"/>
      <c r="T27" s="362"/>
      <c r="U27" s="215"/>
      <c r="V27" s="214"/>
      <c r="W27" s="215"/>
      <c r="X27" s="214"/>
      <c r="Y27" s="215"/>
      <c r="Z27" s="214"/>
      <c r="AA27" s="215"/>
      <c r="AB27" s="321"/>
      <c r="AC27" s="215"/>
      <c r="AD27" s="214"/>
      <c r="AE27" s="215"/>
      <c r="AF27" s="214"/>
      <c r="AG27" s="215"/>
      <c r="AH27" s="214"/>
      <c r="AI27" s="215"/>
      <c r="AJ27" s="214"/>
      <c r="AK27" s="215"/>
      <c r="AL27" s="214"/>
      <c r="AM27" s="215"/>
      <c r="AN27" s="214"/>
      <c r="AO27" s="215"/>
      <c r="AP27" s="214"/>
      <c r="AQ27" s="215"/>
      <c r="AR27" s="214"/>
      <c r="AS27" s="215"/>
      <c r="AT27" s="214"/>
      <c r="AU27" s="215"/>
      <c r="AV27" s="214"/>
      <c r="AW27" s="319"/>
      <c r="AX27" s="214"/>
      <c r="AY27" s="215"/>
      <c r="AZ27" s="243">
        <f t="shared" si="0"/>
        <v>0</v>
      </c>
    </row>
    <row r="28" spans="1:238" s="79" customFormat="1">
      <c r="A28" s="528">
        <v>43255</v>
      </c>
      <c r="B28" s="404" t="s">
        <v>1119</v>
      </c>
      <c r="C28" s="405" t="s">
        <v>729</v>
      </c>
      <c r="D28" s="406">
        <v>2450</v>
      </c>
      <c r="E28" s="215"/>
      <c r="F28" s="214"/>
      <c r="G28" s="215"/>
      <c r="H28" s="214"/>
      <c r="I28" s="215"/>
      <c r="J28" s="214"/>
      <c r="K28" s="215"/>
      <c r="L28" s="214"/>
      <c r="M28" s="215"/>
      <c r="N28" s="214"/>
      <c r="O28" s="215"/>
      <c r="P28" s="362"/>
      <c r="Q28" s="363"/>
      <c r="R28" s="362"/>
      <c r="S28" s="363"/>
      <c r="T28" s="362"/>
      <c r="U28" s="215"/>
      <c r="V28" s="214"/>
      <c r="W28" s="215"/>
      <c r="X28" s="214"/>
      <c r="Y28" s="215"/>
      <c r="Z28" s="214"/>
      <c r="AA28" s="215"/>
      <c r="AB28" s="214"/>
      <c r="AC28" s="215">
        <v>2450</v>
      </c>
      <c r="AD28" s="214"/>
      <c r="AE28" s="215"/>
      <c r="AF28" s="214"/>
      <c r="AG28" s="215"/>
      <c r="AH28" s="214"/>
      <c r="AI28" s="215"/>
      <c r="AJ28" s="214"/>
      <c r="AK28" s="215"/>
      <c r="AL28" s="214"/>
      <c r="AM28" s="215"/>
      <c r="AN28" s="214"/>
      <c r="AO28" s="215"/>
      <c r="AP28" s="214"/>
      <c r="AQ28" s="215"/>
      <c r="AR28" s="214"/>
      <c r="AS28" s="215"/>
      <c r="AT28" s="214"/>
      <c r="AU28" s="215"/>
      <c r="AV28" s="214"/>
      <c r="AW28" s="319"/>
      <c r="AX28" s="214"/>
      <c r="AY28" s="215"/>
      <c r="AZ28" s="243">
        <f t="shared" si="0"/>
        <v>0</v>
      </c>
      <c r="BB28" s="277"/>
    </row>
    <row r="29" spans="1:238" s="79" customFormat="1">
      <c r="A29" s="530">
        <v>43256</v>
      </c>
      <c r="B29" s="280" t="s">
        <v>1067</v>
      </c>
      <c r="C29" s="284" t="s">
        <v>730</v>
      </c>
      <c r="D29" s="214"/>
      <c r="E29" s="215">
        <v>1715</v>
      </c>
      <c r="F29" s="214"/>
      <c r="G29" s="215"/>
      <c r="H29" s="214"/>
      <c r="I29" s="215"/>
      <c r="J29" s="214"/>
      <c r="K29" s="215"/>
      <c r="L29" s="214">
        <v>1715</v>
      </c>
      <c r="M29" s="215"/>
      <c r="N29" s="214"/>
      <c r="O29" s="215"/>
      <c r="P29" s="214"/>
      <c r="Q29" s="215"/>
      <c r="R29" s="214"/>
      <c r="S29" s="215"/>
      <c r="T29" s="214"/>
      <c r="U29" s="215"/>
      <c r="V29" s="214"/>
      <c r="W29" s="215"/>
      <c r="X29" s="214"/>
      <c r="Y29" s="215"/>
      <c r="Z29" s="214"/>
      <c r="AA29" s="319"/>
      <c r="AB29" s="214"/>
      <c r="AC29" s="320"/>
      <c r="AD29" s="214"/>
      <c r="AE29" s="215"/>
      <c r="AF29" s="214"/>
      <c r="AG29" s="215"/>
      <c r="AH29" s="214"/>
      <c r="AI29" s="215"/>
      <c r="AJ29" s="214"/>
      <c r="AK29" s="215"/>
      <c r="AL29" s="214"/>
      <c r="AM29" s="215"/>
      <c r="AN29" s="214"/>
      <c r="AO29" s="215"/>
      <c r="AP29" s="214"/>
      <c r="AQ29" s="215"/>
      <c r="AR29" s="214"/>
      <c r="AS29" s="215"/>
      <c r="AT29" s="214"/>
      <c r="AU29" s="215"/>
      <c r="AV29" s="214"/>
      <c r="AW29" s="319"/>
      <c r="AX29" s="214"/>
      <c r="AY29" s="215"/>
      <c r="AZ29" s="243">
        <f t="shared" si="0"/>
        <v>0</v>
      </c>
      <c r="BB29" s="277"/>
    </row>
    <row r="30" spans="1:238" s="79" customFormat="1">
      <c r="A30" s="530">
        <v>43256</v>
      </c>
      <c r="B30" s="280" t="s">
        <v>989</v>
      </c>
      <c r="C30" s="318" t="s">
        <v>731</v>
      </c>
      <c r="D30" s="214"/>
      <c r="E30" s="215">
        <v>2500</v>
      </c>
      <c r="F30" s="214"/>
      <c r="G30" s="215"/>
      <c r="H30" s="214"/>
      <c r="I30" s="215"/>
      <c r="J30" s="214"/>
      <c r="K30" s="215"/>
      <c r="L30" s="214"/>
      <c r="M30" s="215"/>
      <c r="N30" s="214"/>
      <c r="O30" s="215"/>
      <c r="P30" s="214"/>
      <c r="Q30" s="215"/>
      <c r="R30" s="214">
        <v>2500</v>
      </c>
      <c r="S30" s="215"/>
      <c r="T30" s="214"/>
      <c r="U30" s="215"/>
      <c r="V30" s="214"/>
      <c r="W30" s="215"/>
      <c r="X30" s="214"/>
      <c r="Y30" s="215"/>
      <c r="Z30" s="214"/>
      <c r="AA30" s="215"/>
      <c r="AB30" s="214"/>
      <c r="AC30" s="215"/>
      <c r="AD30" s="214"/>
      <c r="AE30" s="215"/>
      <c r="AF30" s="214"/>
      <c r="AG30" s="215"/>
      <c r="AH30" s="214"/>
      <c r="AI30" s="215"/>
      <c r="AJ30" s="214"/>
      <c r="AK30" s="215"/>
      <c r="AL30" s="214"/>
      <c r="AM30" s="215"/>
      <c r="AN30" s="214"/>
      <c r="AO30" s="215"/>
      <c r="AP30" s="214"/>
      <c r="AQ30" s="215"/>
      <c r="AR30" s="214"/>
      <c r="AS30" s="215"/>
      <c r="AT30" s="214"/>
      <c r="AU30" s="215"/>
      <c r="AV30" s="214"/>
      <c r="AW30" s="319"/>
      <c r="AX30" s="214"/>
      <c r="AY30" s="215"/>
      <c r="AZ30" s="243">
        <f t="shared" si="0"/>
        <v>0</v>
      </c>
    </row>
    <row r="31" spans="1:238" s="79" customFormat="1">
      <c r="A31" s="530">
        <v>43257</v>
      </c>
      <c r="B31" s="280" t="s">
        <v>1123</v>
      </c>
      <c r="C31" s="284" t="s">
        <v>732</v>
      </c>
      <c r="D31" s="214"/>
      <c r="E31" s="215">
        <v>5069</v>
      </c>
      <c r="F31" s="214"/>
      <c r="G31" s="215"/>
      <c r="H31" s="214"/>
      <c r="I31" s="215"/>
      <c r="J31" s="214"/>
      <c r="K31" s="215"/>
      <c r="L31" s="214"/>
      <c r="M31" s="215"/>
      <c r="N31" s="214"/>
      <c r="O31" s="215"/>
      <c r="P31" s="467" t="s">
        <v>359</v>
      </c>
      <c r="Q31" s="215"/>
      <c r="R31" s="214"/>
      <c r="S31" s="215"/>
      <c r="T31" s="214"/>
      <c r="U31" s="215"/>
      <c r="V31" s="214"/>
      <c r="W31" s="215"/>
      <c r="X31" s="214"/>
      <c r="Y31" s="215"/>
      <c r="Z31" s="214"/>
      <c r="AA31" s="215"/>
      <c r="AB31" s="322"/>
      <c r="AC31" s="215"/>
      <c r="AD31" s="214"/>
      <c r="AE31" s="215"/>
      <c r="AF31" s="214"/>
      <c r="AG31" s="215"/>
      <c r="AH31" s="214"/>
      <c r="AI31" s="215"/>
      <c r="AJ31" s="214"/>
      <c r="AK31" s="215"/>
      <c r="AL31" s="214"/>
      <c r="AM31" s="215"/>
      <c r="AN31" s="214"/>
      <c r="AO31" s="215"/>
      <c r="AP31" s="214"/>
      <c r="AQ31" s="215"/>
      <c r="AR31" s="214"/>
      <c r="AS31" s="215"/>
      <c r="AT31" s="214"/>
      <c r="AU31" s="215"/>
      <c r="AV31" s="214"/>
      <c r="AW31" s="319"/>
      <c r="AX31" s="214"/>
      <c r="AY31" s="215"/>
      <c r="AZ31" s="243" t="e">
        <f t="shared" si="0"/>
        <v>#VALUE!</v>
      </c>
      <c r="BB31" s="277"/>
    </row>
    <row r="32" spans="1:238" s="79" customFormat="1">
      <c r="A32" s="530">
        <v>43283</v>
      </c>
      <c r="B32" s="280" t="s">
        <v>1028</v>
      </c>
      <c r="C32" s="284" t="s">
        <v>733</v>
      </c>
      <c r="D32" s="467"/>
      <c r="E32" s="323">
        <v>127.5</v>
      </c>
      <c r="F32" s="214"/>
      <c r="G32" s="215"/>
      <c r="H32" s="214"/>
      <c r="I32" s="215"/>
      <c r="J32" s="214"/>
      <c r="K32" s="215"/>
      <c r="L32" s="214"/>
      <c r="M32" s="215"/>
      <c r="N32" s="214"/>
      <c r="O32" s="215"/>
      <c r="P32" s="214">
        <v>127.5</v>
      </c>
      <c r="Q32" s="215"/>
      <c r="R32" s="214"/>
      <c r="S32" s="215"/>
      <c r="T32" s="214"/>
      <c r="U32" s="215"/>
      <c r="V32" s="214"/>
      <c r="W32" s="215"/>
      <c r="X32" s="214"/>
      <c r="Y32" s="215"/>
      <c r="Z32" s="214"/>
      <c r="AA32" s="215"/>
      <c r="AB32" s="214"/>
      <c r="AC32" s="215"/>
      <c r="AD32" s="214"/>
      <c r="AE32" s="215"/>
      <c r="AF32" s="214"/>
      <c r="AG32" s="215"/>
      <c r="AH32" s="214"/>
      <c r="AI32" s="215"/>
      <c r="AJ32" s="214"/>
      <c r="AK32" s="215"/>
      <c r="AL32" s="214"/>
      <c r="AM32" s="215"/>
      <c r="AN32" s="214"/>
      <c r="AO32" s="215"/>
      <c r="AP32" s="214"/>
      <c r="AQ32" s="215"/>
      <c r="AR32" s="214"/>
      <c r="AS32" s="215"/>
      <c r="AT32" s="214"/>
      <c r="AU32" s="215"/>
      <c r="AV32" s="214"/>
      <c r="AW32" s="319"/>
      <c r="AX32" s="214"/>
      <c r="AY32" s="215"/>
      <c r="AZ32" s="243">
        <f t="shared" si="0"/>
        <v>0</v>
      </c>
    </row>
    <row r="33" spans="1:54" s="79" customFormat="1">
      <c r="A33" s="530">
        <v>76176</v>
      </c>
      <c r="B33" s="464" t="s">
        <v>1117</v>
      </c>
      <c r="C33" s="318" t="s">
        <v>734</v>
      </c>
      <c r="D33" s="214"/>
      <c r="E33" s="215">
        <v>1139</v>
      </c>
      <c r="F33" s="214"/>
      <c r="G33" s="215"/>
      <c r="H33" s="214"/>
      <c r="I33" s="215"/>
      <c r="J33" s="214"/>
      <c r="K33" s="215"/>
      <c r="L33" s="214"/>
      <c r="M33" s="215"/>
      <c r="N33" s="214"/>
      <c r="O33" s="215"/>
      <c r="P33" s="214">
        <v>1139</v>
      </c>
      <c r="Q33" s="215"/>
      <c r="R33" s="214"/>
      <c r="S33" s="215"/>
      <c r="T33" s="214"/>
      <c r="U33" s="215"/>
      <c r="V33" s="214"/>
      <c r="W33" s="215"/>
      <c r="X33" s="214"/>
      <c r="Y33" s="215"/>
      <c r="Z33" s="214"/>
      <c r="AA33" s="215"/>
      <c r="AB33" s="214"/>
      <c r="AC33" s="215"/>
      <c r="AD33" s="214"/>
      <c r="AE33" s="215"/>
      <c r="AF33" s="214"/>
      <c r="AG33" s="215"/>
      <c r="AH33" s="214"/>
      <c r="AI33" s="215"/>
      <c r="AJ33" s="214"/>
      <c r="AK33" s="215"/>
      <c r="AL33" s="214"/>
      <c r="AM33" s="215"/>
      <c r="AN33" s="214"/>
      <c r="AO33" s="215"/>
      <c r="AP33" s="214"/>
      <c r="AQ33" s="215"/>
      <c r="AR33" s="214"/>
      <c r="AS33" s="215"/>
      <c r="AT33" s="214"/>
      <c r="AU33" s="215"/>
      <c r="AV33" s="214"/>
      <c r="AW33" s="319"/>
      <c r="AX33" s="214"/>
      <c r="AY33" s="215"/>
      <c r="AZ33" s="243">
        <f t="shared" si="0"/>
        <v>0</v>
      </c>
      <c r="BB33" s="277"/>
    </row>
    <row r="34" spans="1:54" s="385" customFormat="1">
      <c r="A34" s="530">
        <v>43313</v>
      </c>
      <c r="B34" s="464" t="s">
        <v>1028</v>
      </c>
      <c r="C34" s="284" t="s">
        <v>735</v>
      </c>
      <c r="D34" s="214"/>
      <c r="E34" s="215">
        <v>121.5</v>
      </c>
      <c r="F34" s="214"/>
      <c r="G34" s="215"/>
      <c r="H34" s="467" t="s">
        <v>359</v>
      </c>
      <c r="I34" s="215"/>
      <c r="J34" s="214"/>
      <c r="K34" s="215"/>
      <c r="L34" s="214"/>
      <c r="M34" s="215"/>
      <c r="N34" s="214"/>
      <c r="O34" s="215"/>
      <c r="P34" s="214">
        <v>121.5</v>
      </c>
      <c r="Q34" s="215"/>
      <c r="R34" s="214"/>
      <c r="S34" s="215"/>
      <c r="T34" s="214"/>
      <c r="U34" s="215"/>
      <c r="V34" s="214"/>
      <c r="W34" s="215"/>
      <c r="X34" s="214"/>
      <c r="Y34" s="215"/>
      <c r="Z34" s="214"/>
      <c r="AA34" s="215"/>
      <c r="AB34" s="214"/>
      <c r="AC34" s="215"/>
      <c r="AD34" s="214"/>
      <c r="AE34" s="215"/>
      <c r="AF34" s="214"/>
      <c r="AG34" s="215"/>
      <c r="AH34" s="214"/>
      <c r="AI34" s="215"/>
      <c r="AJ34" s="214"/>
      <c r="AK34" s="215"/>
      <c r="AL34" s="214"/>
      <c r="AM34" s="215"/>
      <c r="AN34" s="214"/>
      <c r="AO34" s="215"/>
      <c r="AP34" s="214"/>
      <c r="AQ34" s="215"/>
      <c r="AR34" s="214"/>
      <c r="AS34" s="215"/>
      <c r="AT34" s="214"/>
      <c r="AU34" s="215"/>
      <c r="AV34" s="214"/>
      <c r="AW34" s="319"/>
      <c r="AX34" s="214"/>
      <c r="AY34" s="215"/>
      <c r="AZ34" s="384" t="e">
        <f t="shared" si="0"/>
        <v>#VALUE!</v>
      </c>
    </row>
    <row r="35" spans="1:54" s="79" customFormat="1">
      <c r="A35" s="531">
        <v>43313</v>
      </c>
      <c r="B35" s="404" t="s">
        <v>1120</v>
      </c>
      <c r="C35" s="405" t="s">
        <v>735</v>
      </c>
      <c r="D35" s="406">
        <v>1000</v>
      </c>
      <c r="E35" s="323" t="s">
        <v>359</v>
      </c>
      <c r="F35" s="214"/>
      <c r="G35" s="215"/>
      <c r="H35" s="214"/>
      <c r="I35" s="215"/>
      <c r="J35" s="214"/>
      <c r="K35" s="215"/>
      <c r="L35" s="214"/>
      <c r="M35" s="215"/>
      <c r="N35" s="214"/>
      <c r="O35" s="215"/>
      <c r="P35" s="214"/>
      <c r="Q35" s="215"/>
      <c r="R35" s="214"/>
      <c r="S35" s="215"/>
      <c r="T35" s="214"/>
      <c r="U35" s="215"/>
      <c r="V35" s="214"/>
      <c r="W35" s="215"/>
      <c r="X35" s="214"/>
      <c r="Y35" s="215"/>
      <c r="Z35" s="214"/>
      <c r="AA35" s="215"/>
      <c r="AB35" s="214"/>
      <c r="AC35" s="215">
        <v>1000</v>
      </c>
      <c r="AD35" s="274"/>
      <c r="AE35" s="215"/>
      <c r="AF35" s="214"/>
      <c r="AG35" s="215"/>
      <c r="AH35" s="214"/>
      <c r="AI35" s="215"/>
      <c r="AJ35" s="214"/>
      <c r="AK35" s="215"/>
      <c r="AL35" s="214"/>
      <c r="AM35" s="215"/>
      <c r="AN35" s="214"/>
      <c r="AO35" s="215"/>
      <c r="AP35" s="214"/>
      <c r="AQ35" s="215"/>
      <c r="AR35" s="214"/>
      <c r="AS35" s="215"/>
      <c r="AT35" s="214"/>
      <c r="AU35" s="215"/>
      <c r="AV35" s="214"/>
      <c r="AW35" s="319"/>
      <c r="AX35" s="214"/>
      <c r="AY35" s="215"/>
      <c r="AZ35" s="243" t="e">
        <f t="shared" si="0"/>
        <v>#VALUE!</v>
      </c>
    </row>
    <row r="36" spans="1:54" s="385" customFormat="1">
      <c r="A36" s="530">
        <v>43326</v>
      </c>
      <c r="B36" s="280" t="s">
        <v>1121</v>
      </c>
      <c r="C36" s="284" t="s">
        <v>736</v>
      </c>
      <c r="D36" s="214"/>
      <c r="E36" s="386">
        <v>5000</v>
      </c>
      <c r="F36" s="214">
        <v>5000</v>
      </c>
      <c r="G36" s="215"/>
      <c r="H36" s="214"/>
      <c r="I36" s="215"/>
      <c r="J36" s="214"/>
      <c r="K36" s="215"/>
      <c r="L36" s="214"/>
      <c r="M36" s="215"/>
      <c r="N36" s="214"/>
      <c r="O36" s="215"/>
      <c r="P36" s="214"/>
      <c r="Q36" s="215"/>
      <c r="R36" s="214"/>
      <c r="S36" s="215"/>
      <c r="T36" s="214"/>
      <c r="U36" s="215"/>
      <c r="V36" s="214"/>
      <c r="W36" s="215"/>
      <c r="X36" s="214"/>
      <c r="Y36" s="215"/>
      <c r="Z36" s="214"/>
      <c r="AA36" s="215"/>
      <c r="AB36" s="214"/>
      <c r="AC36" s="215"/>
      <c r="AD36" s="214"/>
      <c r="AE36" s="215"/>
      <c r="AF36" s="214"/>
      <c r="AG36" s="215"/>
      <c r="AH36" s="214"/>
      <c r="AI36" s="215"/>
      <c r="AJ36" s="214"/>
      <c r="AK36" s="215"/>
      <c r="AL36" s="214"/>
      <c r="AM36" s="215"/>
      <c r="AN36" s="214"/>
      <c r="AO36" s="215"/>
      <c r="AP36" s="214"/>
      <c r="AQ36" s="215"/>
      <c r="AR36" s="214"/>
      <c r="AS36" s="215"/>
      <c r="AT36" s="214"/>
      <c r="AU36" s="215"/>
      <c r="AV36" s="214"/>
      <c r="AW36" s="319"/>
      <c r="AX36" s="214"/>
      <c r="AY36" s="215"/>
      <c r="AZ36" s="384">
        <f t="shared" si="0"/>
        <v>0</v>
      </c>
    </row>
    <row r="37" spans="1:54" s="79" customFormat="1">
      <c r="A37" s="530">
        <v>43335</v>
      </c>
      <c r="B37" s="280" t="s">
        <v>1122</v>
      </c>
      <c r="C37" s="284" t="s">
        <v>737</v>
      </c>
      <c r="D37" s="214"/>
      <c r="E37" s="215">
        <v>1094</v>
      </c>
      <c r="F37" s="214"/>
      <c r="G37" s="215"/>
      <c r="H37" s="214">
        <v>1094</v>
      </c>
      <c r="I37" s="215"/>
      <c r="J37" s="214"/>
      <c r="K37" s="215"/>
      <c r="L37" s="214"/>
      <c r="M37" s="215"/>
      <c r="N37" s="214"/>
      <c r="O37" s="215"/>
      <c r="P37" s="362"/>
      <c r="Q37" s="215"/>
      <c r="R37" s="214"/>
      <c r="S37" s="215"/>
      <c r="T37" s="214"/>
      <c r="U37" s="215"/>
      <c r="V37" s="214"/>
      <c r="W37" s="215"/>
      <c r="X37" s="214"/>
      <c r="Y37" s="215"/>
      <c r="Z37" s="214"/>
      <c r="AA37" s="215"/>
      <c r="AB37" s="214"/>
      <c r="AC37" s="215"/>
      <c r="AD37" s="214"/>
      <c r="AE37" s="215"/>
      <c r="AF37" s="214"/>
      <c r="AG37" s="215"/>
      <c r="AH37" s="214"/>
      <c r="AI37" s="215"/>
      <c r="AJ37" s="214"/>
      <c r="AK37" s="215"/>
      <c r="AL37" s="214"/>
      <c r="AM37" s="215"/>
      <c r="AN37" s="214"/>
      <c r="AO37" s="215"/>
      <c r="AP37" s="214"/>
      <c r="AQ37" s="215"/>
      <c r="AR37" s="214"/>
      <c r="AS37" s="215"/>
      <c r="AT37" s="214"/>
      <c r="AU37" s="215"/>
      <c r="AV37" s="214"/>
      <c r="AW37" s="319"/>
      <c r="AX37" s="214"/>
      <c r="AY37" s="215"/>
      <c r="AZ37" s="243">
        <f t="shared" si="0"/>
        <v>0</v>
      </c>
    </row>
    <row r="38" spans="1:54" s="79" customFormat="1">
      <c r="A38" s="530">
        <v>43346</v>
      </c>
      <c r="B38" s="280" t="s">
        <v>1028</v>
      </c>
      <c r="C38" s="284" t="s">
        <v>738</v>
      </c>
      <c r="D38" s="406"/>
      <c r="E38" s="323">
        <v>129</v>
      </c>
      <c r="F38" s="214"/>
      <c r="G38" s="215"/>
      <c r="H38" s="214"/>
      <c r="I38" s="215"/>
      <c r="J38" s="214"/>
      <c r="K38" s="215"/>
      <c r="L38" s="214"/>
      <c r="M38" s="215"/>
      <c r="N38" s="214"/>
      <c r="O38" s="215"/>
      <c r="P38" s="362">
        <v>129</v>
      </c>
      <c r="Q38" s="215"/>
      <c r="R38" s="214"/>
      <c r="S38" s="215"/>
      <c r="T38" s="214"/>
      <c r="U38" s="215"/>
      <c r="V38" s="214"/>
      <c r="W38" s="215"/>
      <c r="X38" s="214"/>
      <c r="Y38" s="215"/>
      <c r="Z38" s="214"/>
      <c r="AA38" s="215"/>
      <c r="AB38" s="214"/>
      <c r="AC38" s="215"/>
      <c r="AD38" s="214"/>
      <c r="AE38" s="215"/>
      <c r="AF38" s="214"/>
      <c r="AG38" s="215"/>
      <c r="AH38" s="214"/>
      <c r="AI38" s="215"/>
      <c r="AJ38" s="214"/>
      <c r="AK38" s="215"/>
      <c r="AL38" s="214"/>
      <c r="AM38" s="215"/>
      <c r="AN38" s="214"/>
      <c r="AO38" s="215"/>
      <c r="AP38" s="214"/>
      <c r="AQ38" s="215"/>
      <c r="AR38" s="214"/>
      <c r="AS38" s="215"/>
      <c r="AT38" s="214"/>
      <c r="AU38" s="215"/>
      <c r="AV38" s="214"/>
      <c r="AW38" s="319"/>
      <c r="AX38" s="214"/>
      <c r="AY38" s="215"/>
      <c r="AZ38" s="243">
        <f t="shared" si="0"/>
        <v>0</v>
      </c>
    </row>
    <row r="39" spans="1:54" s="79" customFormat="1">
      <c r="A39" s="530">
        <v>43367</v>
      </c>
      <c r="B39" s="280" t="s">
        <v>1069</v>
      </c>
      <c r="C39" s="284" t="s">
        <v>739</v>
      </c>
      <c r="D39" s="214"/>
      <c r="E39" s="215">
        <v>5625</v>
      </c>
      <c r="F39" s="214"/>
      <c r="G39" s="215"/>
      <c r="H39" s="214"/>
      <c r="I39" s="215"/>
      <c r="J39" s="214"/>
      <c r="K39" s="215"/>
      <c r="L39" s="214"/>
      <c r="M39" s="215"/>
      <c r="N39" s="214"/>
      <c r="O39" s="215"/>
      <c r="P39" s="362"/>
      <c r="Q39" s="215"/>
      <c r="R39" s="214"/>
      <c r="S39" s="215"/>
      <c r="T39" s="214"/>
      <c r="U39" s="215"/>
      <c r="V39" s="214"/>
      <c r="W39" s="215"/>
      <c r="X39" s="214"/>
      <c r="Y39" s="215"/>
      <c r="Z39" s="214">
        <v>5625</v>
      </c>
      <c r="AA39" s="215"/>
      <c r="AB39" s="214"/>
      <c r="AC39" s="215"/>
      <c r="AD39" s="214"/>
      <c r="AE39" s="215"/>
      <c r="AF39" s="214"/>
      <c r="AG39" s="215"/>
      <c r="AH39" s="214"/>
      <c r="AI39" s="215"/>
      <c r="AJ39" s="214"/>
      <c r="AK39" s="215"/>
      <c r="AL39" s="214"/>
      <c r="AM39" s="215"/>
      <c r="AN39" s="214"/>
      <c r="AO39" s="215"/>
      <c r="AP39" s="214"/>
      <c r="AQ39" s="215"/>
      <c r="AR39" s="214"/>
      <c r="AS39" s="215"/>
      <c r="AT39" s="214"/>
      <c r="AU39" s="215"/>
      <c r="AV39" s="214"/>
      <c r="AW39" s="319"/>
      <c r="AX39" s="214"/>
      <c r="AY39" s="215"/>
      <c r="AZ39" s="243">
        <f t="shared" si="0"/>
        <v>0</v>
      </c>
      <c r="BB39" s="277"/>
    </row>
    <row r="40" spans="1:54" s="385" customFormat="1">
      <c r="A40" s="530">
        <v>43374</v>
      </c>
      <c r="B40" s="280" t="s">
        <v>1028</v>
      </c>
      <c r="C40" s="284" t="s">
        <v>740</v>
      </c>
      <c r="D40" s="406"/>
      <c r="E40" s="215">
        <v>124.5</v>
      </c>
      <c r="F40" s="214"/>
      <c r="G40" s="215"/>
      <c r="H40" s="214"/>
      <c r="I40" s="215"/>
      <c r="J40" s="214"/>
      <c r="K40" s="215"/>
      <c r="L40" s="214"/>
      <c r="M40" s="215"/>
      <c r="N40" s="214"/>
      <c r="O40" s="215"/>
      <c r="P40" s="214">
        <v>124.5</v>
      </c>
      <c r="Q40" s="215"/>
      <c r="R40" s="214"/>
      <c r="S40" s="215"/>
      <c r="T40" s="214"/>
      <c r="U40" s="215"/>
      <c r="V40" s="214"/>
      <c r="W40" s="215"/>
      <c r="X40" s="214"/>
      <c r="Y40" s="215"/>
      <c r="Z40" s="214"/>
      <c r="AA40" s="215"/>
      <c r="AB40" s="214"/>
      <c r="AC40" s="215"/>
      <c r="AD40" s="214"/>
      <c r="AE40" s="215"/>
      <c r="AF40" s="214"/>
      <c r="AG40" s="215"/>
      <c r="AH40" s="214"/>
      <c r="AI40" s="215"/>
      <c r="AJ40" s="214"/>
      <c r="AK40" s="215"/>
      <c r="AL40" s="214"/>
      <c r="AM40" s="215"/>
      <c r="AN40" s="214"/>
      <c r="AO40" s="215"/>
      <c r="AP40" s="214"/>
      <c r="AQ40" s="215"/>
      <c r="AR40" s="214"/>
      <c r="AS40" s="215"/>
      <c r="AT40" s="214"/>
      <c r="AU40" s="215"/>
      <c r="AV40" s="214"/>
      <c r="AW40" s="319"/>
      <c r="AX40" s="214"/>
      <c r="AY40" s="215"/>
      <c r="AZ40" s="384">
        <f t="shared" si="0"/>
        <v>0</v>
      </c>
    </row>
    <row r="41" spans="1:54" s="79" customFormat="1">
      <c r="A41" s="530">
        <v>43374</v>
      </c>
      <c r="B41" s="280" t="s">
        <v>1124</v>
      </c>
      <c r="C41" s="284" t="s">
        <v>740</v>
      </c>
      <c r="D41" s="214">
        <v>6236.32</v>
      </c>
      <c r="E41" s="323" t="s">
        <v>359</v>
      </c>
      <c r="F41" s="214"/>
      <c r="G41" s="215"/>
      <c r="H41" s="214"/>
      <c r="I41" s="215">
        <v>6236.32</v>
      </c>
      <c r="J41" s="214"/>
      <c r="K41" s="215"/>
      <c r="L41" s="214"/>
      <c r="M41" s="215"/>
      <c r="N41" s="214"/>
      <c r="O41" s="215"/>
      <c r="P41" s="503" t="s">
        <v>359</v>
      </c>
      <c r="Q41" s="215"/>
      <c r="R41" s="214"/>
      <c r="S41" s="215"/>
      <c r="T41" s="214"/>
      <c r="U41" s="215"/>
      <c r="V41" s="214"/>
      <c r="W41" s="215"/>
      <c r="X41" s="214"/>
      <c r="Y41" s="215"/>
      <c r="Z41" s="214"/>
      <c r="AA41" s="215"/>
      <c r="AB41" s="214"/>
      <c r="AC41" s="215"/>
      <c r="AD41" s="214"/>
      <c r="AE41" s="215"/>
      <c r="AF41" s="214"/>
      <c r="AG41" s="215"/>
      <c r="AH41" s="214"/>
      <c r="AI41" s="215"/>
      <c r="AJ41" s="214"/>
      <c r="AK41" s="215"/>
      <c r="AL41" s="214"/>
      <c r="AM41" s="215"/>
      <c r="AN41" s="214"/>
      <c r="AO41" s="215"/>
      <c r="AP41" s="214"/>
      <c r="AQ41" s="215"/>
      <c r="AR41" s="214"/>
      <c r="AS41" s="215"/>
      <c r="AT41" s="214"/>
      <c r="AU41" s="215"/>
      <c r="AV41" s="214"/>
      <c r="AW41" s="319"/>
      <c r="AX41" s="214"/>
      <c r="AY41" s="215"/>
      <c r="AZ41" s="243" t="e">
        <f t="shared" si="0"/>
        <v>#VALUE!</v>
      </c>
    </row>
    <row r="42" spans="1:54" s="79" customFormat="1">
      <c r="A42" s="530">
        <v>43383</v>
      </c>
      <c r="B42" s="280" t="s">
        <v>1125</v>
      </c>
      <c r="C42" s="284" t="s">
        <v>741</v>
      </c>
      <c r="D42" s="406"/>
      <c r="E42" s="323">
        <v>360</v>
      </c>
      <c r="F42" s="214"/>
      <c r="G42" s="215"/>
      <c r="H42" s="214">
        <v>360</v>
      </c>
      <c r="I42" s="215"/>
      <c r="J42" s="214"/>
      <c r="K42" s="215"/>
      <c r="L42" s="214"/>
      <c r="M42" s="215"/>
      <c r="N42" s="214"/>
      <c r="O42" s="215"/>
      <c r="P42" s="214"/>
      <c r="Q42" s="215"/>
      <c r="R42" s="214"/>
      <c r="S42" s="215"/>
      <c r="T42" s="214"/>
      <c r="U42" s="215"/>
      <c r="V42" s="214"/>
      <c r="W42" s="215"/>
      <c r="X42" s="214"/>
      <c r="Y42" s="215"/>
      <c r="Z42" s="214"/>
      <c r="AA42" s="215"/>
      <c r="AB42" s="214"/>
      <c r="AC42" s="215"/>
      <c r="AD42" s="214"/>
      <c r="AE42" s="215"/>
      <c r="AF42" s="214"/>
      <c r="AG42" s="215"/>
      <c r="AH42" s="214"/>
      <c r="AI42" s="215"/>
      <c r="AJ42" s="214"/>
      <c r="AK42" s="215"/>
      <c r="AL42" s="214"/>
      <c r="AM42" s="215"/>
      <c r="AN42" s="214"/>
      <c r="AO42" s="215"/>
      <c r="AP42" s="214"/>
      <c r="AQ42" s="215"/>
      <c r="AR42" s="214"/>
      <c r="AS42" s="215"/>
      <c r="AT42" s="214"/>
      <c r="AU42" s="215"/>
      <c r="AV42" s="214"/>
      <c r="AW42" s="319"/>
      <c r="AX42" s="214"/>
      <c r="AY42" s="215"/>
      <c r="AZ42" s="243">
        <f t="shared" si="0"/>
        <v>0</v>
      </c>
    </row>
    <row r="43" spans="1:54" s="79" customFormat="1">
      <c r="A43" s="530">
        <v>43383</v>
      </c>
      <c r="B43" s="280" t="s">
        <v>1126</v>
      </c>
      <c r="C43" s="284" t="s">
        <v>742</v>
      </c>
      <c r="D43" s="214"/>
      <c r="E43" s="215">
        <v>1094.75</v>
      </c>
      <c r="F43" s="214"/>
      <c r="G43" s="215"/>
      <c r="H43" s="214">
        <v>1094.75</v>
      </c>
      <c r="I43" s="215"/>
      <c r="J43" s="214"/>
      <c r="K43" s="215"/>
      <c r="L43" s="214"/>
      <c r="M43" s="215"/>
      <c r="N43" s="214"/>
      <c r="O43" s="215"/>
      <c r="P43" s="214"/>
      <c r="Q43" s="215"/>
      <c r="R43" s="214"/>
      <c r="S43" s="215"/>
      <c r="T43" s="214"/>
      <c r="U43" s="215"/>
      <c r="V43" s="214"/>
      <c r="W43" s="215"/>
      <c r="X43" s="214"/>
      <c r="Y43" s="215"/>
      <c r="Z43" s="214"/>
      <c r="AA43" s="215"/>
      <c r="AB43" s="214"/>
      <c r="AC43" s="215"/>
      <c r="AD43" s="214"/>
      <c r="AE43" s="215"/>
      <c r="AF43" s="214"/>
      <c r="AG43" s="215"/>
      <c r="AH43" s="214"/>
      <c r="AI43" s="215"/>
      <c r="AJ43" s="214"/>
      <c r="AK43" s="215"/>
      <c r="AL43" s="214"/>
      <c r="AM43" s="215"/>
      <c r="AN43" s="214"/>
      <c r="AO43" s="215"/>
      <c r="AP43" s="214"/>
      <c r="AQ43" s="215"/>
      <c r="AR43" s="214"/>
      <c r="AS43" s="215"/>
      <c r="AT43" s="214"/>
      <c r="AU43" s="215"/>
      <c r="AV43" s="214"/>
      <c r="AW43" s="319"/>
      <c r="AX43" s="214"/>
      <c r="AY43" s="215"/>
      <c r="AZ43" s="243">
        <f t="shared" si="0"/>
        <v>0</v>
      </c>
    </row>
    <row r="44" spans="1:54" s="79" customFormat="1">
      <c r="A44" s="530">
        <v>43395</v>
      </c>
      <c r="B44" s="280" t="s">
        <v>1117</v>
      </c>
      <c r="C44" s="284" t="s">
        <v>743</v>
      </c>
      <c r="D44" s="214"/>
      <c r="E44" s="215">
        <v>1139</v>
      </c>
      <c r="F44" s="214"/>
      <c r="G44" s="215"/>
      <c r="H44" s="214"/>
      <c r="I44" s="215"/>
      <c r="J44" s="214"/>
      <c r="K44" s="215"/>
      <c r="L44" s="214"/>
      <c r="M44" s="215"/>
      <c r="N44" s="214"/>
      <c r="O44" s="215"/>
      <c r="P44" s="214">
        <v>1139</v>
      </c>
      <c r="Q44" s="215"/>
      <c r="R44" s="214"/>
      <c r="S44" s="215"/>
      <c r="T44" s="214"/>
      <c r="U44" s="215"/>
      <c r="V44" s="214"/>
      <c r="W44" s="215"/>
      <c r="X44" s="214"/>
      <c r="Y44" s="215"/>
      <c r="Z44" s="214"/>
      <c r="AA44" s="215"/>
      <c r="AB44" s="214"/>
      <c r="AC44" s="215"/>
      <c r="AD44" s="214"/>
      <c r="AE44" s="215"/>
      <c r="AF44" s="214"/>
      <c r="AG44" s="215"/>
      <c r="AH44" s="214"/>
      <c r="AI44" s="215"/>
      <c r="AJ44" s="214"/>
      <c r="AK44" s="215"/>
      <c r="AL44" s="214"/>
      <c r="AM44" s="215"/>
      <c r="AN44" s="214"/>
      <c r="AO44" s="215"/>
      <c r="AP44" s="214"/>
      <c r="AQ44" s="215"/>
      <c r="AR44" s="214"/>
      <c r="AS44" s="215"/>
      <c r="AT44" s="214"/>
      <c r="AU44" s="215"/>
      <c r="AV44" s="214"/>
      <c r="AW44" s="319"/>
      <c r="AX44" s="214"/>
      <c r="AY44" s="215"/>
      <c r="AZ44" s="243">
        <f t="shared" si="0"/>
        <v>0</v>
      </c>
    </row>
    <row r="45" spans="1:54" s="79" customFormat="1">
      <c r="A45" s="532">
        <v>43398</v>
      </c>
      <c r="B45" s="280" t="s">
        <v>1127</v>
      </c>
      <c r="C45" s="284" t="s">
        <v>744</v>
      </c>
      <c r="D45" s="503" t="s">
        <v>359</v>
      </c>
      <c r="E45" s="363">
        <v>2172</v>
      </c>
      <c r="F45" s="362"/>
      <c r="G45" s="363"/>
      <c r="H45" s="362">
        <v>2172</v>
      </c>
      <c r="I45" s="363"/>
      <c r="J45" s="362"/>
      <c r="K45" s="363"/>
      <c r="L45" s="362"/>
      <c r="M45" s="363"/>
      <c r="N45" s="362"/>
      <c r="O45" s="363"/>
      <c r="P45" s="362"/>
      <c r="Q45" s="363"/>
      <c r="R45" s="362"/>
      <c r="S45" s="363"/>
      <c r="T45" s="362"/>
      <c r="U45" s="363"/>
      <c r="V45" s="362"/>
      <c r="W45" s="363"/>
      <c r="X45" s="362"/>
      <c r="Y45" s="363"/>
      <c r="Z45" s="362"/>
      <c r="AA45" s="363"/>
      <c r="AB45" s="362"/>
      <c r="AC45" s="363"/>
      <c r="AD45" s="362"/>
      <c r="AE45" s="363"/>
      <c r="AF45" s="362"/>
      <c r="AG45" s="363"/>
      <c r="AH45" s="362"/>
      <c r="AI45" s="363"/>
      <c r="AJ45" s="362"/>
      <c r="AK45" s="363"/>
      <c r="AL45" s="362"/>
      <c r="AM45" s="363"/>
      <c r="AN45" s="362"/>
      <c r="AO45" s="363"/>
      <c r="AP45" s="362"/>
      <c r="AQ45" s="363"/>
      <c r="AR45" s="362"/>
      <c r="AS45" s="363"/>
      <c r="AT45" s="362"/>
      <c r="AU45" s="215"/>
      <c r="AV45" s="214"/>
      <c r="AW45" s="319"/>
      <c r="AX45" s="214"/>
      <c r="AY45" s="215"/>
      <c r="AZ45" s="243" t="e">
        <f t="shared" si="0"/>
        <v>#VALUE!</v>
      </c>
    </row>
    <row r="46" spans="1:54" s="79" customFormat="1">
      <c r="A46" s="530">
        <v>43402</v>
      </c>
      <c r="B46" s="280" t="s">
        <v>1128</v>
      </c>
      <c r="C46" s="284" t="s">
        <v>770</v>
      </c>
      <c r="D46" s="214">
        <v>5069</v>
      </c>
      <c r="E46" s="323" t="s">
        <v>359</v>
      </c>
      <c r="F46" s="214"/>
      <c r="G46" s="215"/>
      <c r="H46" s="214"/>
      <c r="I46" s="215"/>
      <c r="J46" s="214"/>
      <c r="K46" s="215"/>
      <c r="L46" s="214"/>
      <c r="M46" s="215"/>
      <c r="N46" s="214"/>
      <c r="O46" s="215"/>
      <c r="P46" s="214"/>
      <c r="Q46" s="215"/>
      <c r="R46" s="214"/>
      <c r="S46" s="215"/>
      <c r="T46" s="214"/>
      <c r="U46" s="215"/>
      <c r="V46" s="214"/>
      <c r="W46" s="215"/>
      <c r="X46" s="362"/>
      <c r="Y46" s="363"/>
      <c r="Z46" s="362"/>
      <c r="AA46" s="215"/>
      <c r="AB46" s="214"/>
      <c r="AC46" s="215"/>
      <c r="AD46" s="214"/>
      <c r="AE46" s="215"/>
      <c r="AF46" s="214"/>
      <c r="AG46" s="215"/>
      <c r="AH46" s="214"/>
      <c r="AI46" s="215"/>
      <c r="AJ46" s="214"/>
      <c r="AK46" s="215"/>
      <c r="AL46" s="214"/>
      <c r="AM46" s="215"/>
      <c r="AN46" s="214"/>
      <c r="AO46" s="215"/>
      <c r="AP46" s="214"/>
      <c r="AQ46" s="215"/>
      <c r="AR46" s="214"/>
      <c r="AS46" s="215"/>
      <c r="AT46" s="214"/>
      <c r="AU46" s="215"/>
      <c r="AV46" s="214"/>
      <c r="AW46" s="319"/>
      <c r="AX46" s="214"/>
      <c r="AY46" s="215"/>
      <c r="AZ46" s="243" t="e">
        <f t="shared" si="0"/>
        <v>#VALUE!</v>
      </c>
      <c r="BB46" s="277"/>
    </row>
    <row r="47" spans="1:54" s="79" customFormat="1">
      <c r="A47" s="530">
        <v>43402</v>
      </c>
      <c r="B47" s="280" t="s">
        <v>1127</v>
      </c>
      <c r="C47" s="284" t="s">
        <v>771</v>
      </c>
      <c r="D47" s="214"/>
      <c r="E47" s="215">
        <v>3004</v>
      </c>
      <c r="F47" s="214"/>
      <c r="G47" s="215"/>
      <c r="H47" s="214">
        <v>3004</v>
      </c>
      <c r="I47" s="215"/>
      <c r="J47" s="214"/>
      <c r="K47" s="323"/>
      <c r="L47" s="214"/>
      <c r="M47" s="215"/>
      <c r="N47" s="214"/>
      <c r="O47" s="215"/>
      <c r="P47" s="214"/>
      <c r="Q47" s="215"/>
      <c r="R47" s="214"/>
      <c r="S47" s="215"/>
      <c r="T47" s="214"/>
      <c r="U47" s="215"/>
      <c r="V47" s="214"/>
      <c r="W47" s="215"/>
      <c r="X47" s="362"/>
      <c r="Y47" s="363"/>
      <c r="Z47" s="362"/>
      <c r="AA47" s="215"/>
      <c r="AB47" s="214"/>
      <c r="AC47" s="215"/>
      <c r="AD47" s="214"/>
      <c r="AE47" s="215"/>
      <c r="AF47" s="214"/>
      <c r="AG47" s="215"/>
      <c r="AH47" s="214"/>
      <c r="AI47" s="215"/>
      <c r="AJ47" s="214"/>
      <c r="AK47" s="215"/>
      <c r="AL47" s="214"/>
      <c r="AM47" s="215"/>
      <c r="AN47" s="214"/>
      <c r="AO47" s="215"/>
      <c r="AP47" s="214"/>
      <c r="AQ47" s="215"/>
      <c r="AR47" s="214"/>
      <c r="AS47" s="215"/>
      <c r="AT47" s="214"/>
      <c r="AU47" s="215"/>
      <c r="AV47" s="214"/>
      <c r="AW47" s="319"/>
      <c r="AX47" s="214"/>
      <c r="AY47" s="215"/>
      <c r="AZ47" s="243">
        <f t="shared" si="0"/>
        <v>0</v>
      </c>
    </row>
    <row r="48" spans="1:54" s="79" customFormat="1">
      <c r="A48" s="527">
        <v>43402</v>
      </c>
      <c r="B48" s="280" t="s">
        <v>1129</v>
      </c>
      <c r="C48" s="284" t="s">
        <v>882</v>
      </c>
      <c r="D48" s="214"/>
      <c r="E48" s="215">
        <v>6558</v>
      </c>
      <c r="F48" s="214"/>
      <c r="G48" s="215"/>
      <c r="H48" s="214">
        <v>6558</v>
      </c>
      <c r="I48" s="215"/>
      <c r="J48" s="214"/>
      <c r="K48" s="215"/>
      <c r="L48" s="214"/>
      <c r="M48" s="215"/>
      <c r="N48" s="214"/>
      <c r="O48" s="215"/>
      <c r="P48" s="214"/>
      <c r="Q48" s="215"/>
      <c r="R48" s="214"/>
      <c r="S48" s="215"/>
      <c r="T48" s="214"/>
      <c r="U48" s="215"/>
      <c r="V48" s="214"/>
      <c r="W48" s="215"/>
      <c r="X48" s="362"/>
      <c r="Y48" s="363"/>
      <c r="Z48" s="362"/>
      <c r="AA48" s="215"/>
      <c r="AB48" s="214"/>
      <c r="AC48" s="215"/>
      <c r="AD48" s="214"/>
      <c r="AE48" s="215"/>
      <c r="AF48" s="214"/>
      <c r="AG48" s="215"/>
      <c r="AH48" s="214"/>
      <c r="AI48" s="215"/>
      <c r="AJ48" s="214"/>
      <c r="AK48" s="215"/>
      <c r="AL48" s="214"/>
      <c r="AM48" s="215"/>
      <c r="AN48" s="214"/>
      <c r="AO48" s="215"/>
      <c r="AP48" s="214"/>
      <c r="AQ48" s="215"/>
      <c r="AR48" s="214"/>
      <c r="AS48" s="215"/>
      <c r="AT48" s="214"/>
      <c r="AU48" s="215"/>
      <c r="AV48" s="214"/>
      <c r="AW48" s="319"/>
      <c r="AX48" s="214"/>
      <c r="AY48" s="215"/>
      <c r="AZ48" s="243">
        <f t="shared" si="0"/>
        <v>0</v>
      </c>
    </row>
    <row r="49" spans="1:53" s="79" customFormat="1">
      <c r="A49" s="527">
        <v>43403</v>
      </c>
      <c r="B49" s="280" t="s">
        <v>1130</v>
      </c>
      <c r="C49" s="284" t="s">
        <v>883</v>
      </c>
      <c r="D49" s="406" t="s">
        <v>359</v>
      </c>
      <c r="E49" s="215">
        <v>856</v>
      </c>
      <c r="F49" s="214"/>
      <c r="G49" s="215"/>
      <c r="H49" s="214">
        <v>856</v>
      </c>
      <c r="I49" s="215"/>
      <c r="J49" s="214"/>
      <c r="K49" s="215"/>
      <c r="L49" s="214"/>
      <c r="M49" s="215"/>
      <c r="N49" s="214"/>
      <c r="O49" s="215"/>
      <c r="P49" s="214"/>
      <c r="Q49" s="215"/>
      <c r="R49" s="214"/>
      <c r="S49" s="215"/>
      <c r="T49" s="214"/>
      <c r="U49" s="215"/>
      <c r="V49" s="214"/>
      <c r="W49" s="215"/>
      <c r="X49" s="362"/>
      <c r="Y49" s="363"/>
      <c r="Z49" s="362"/>
      <c r="AA49" s="215"/>
      <c r="AB49" s="214"/>
      <c r="AC49" s="215"/>
      <c r="AD49" s="214"/>
      <c r="AE49" s="215"/>
      <c r="AF49" s="214"/>
      <c r="AG49" s="215"/>
      <c r="AH49" s="214"/>
      <c r="AI49" s="215"/>
      <c r="AJ49" s="214"/>
      <c r="AK49" s="215"/>
      <c r="AL49" s="214"/>
      <c r="AM49" s="215"/>
      <c r="AN49" s="214"/>
      <c r="AO49" s="215"/>
      <c r="AP49" s="214"/>
      <c r="AQ49" s="215"/>
      <c r="AR49" s="214"/>
      <c r="AS49" s="215"/>
      <c r="AT49" s="214"/>
      <c r="AU49" s="215"/>
      <c r="AV49" s="214"/>
      <c r="AW49" s="319"/>
      <c r="AX49" s="321"/>
      <c r="AY49" s="215"/>
      <c r="AZ49" s="243" t="e">
        <f t="shared" si="0"/>
        <v>#VALUE!</v>
      </c>
    </row>
    <row r="50" spans="1:53" s="79" customFormat="1">
      <c r="A50" s="527">
        <v>43405</v>
      </c>
      <c r="B50" s="280" t="s">
        <v>1028</v>
      </c>
      <c r="C50" s="284" t="s">
        <v>884</v>
      </c>
      <c r="D50" s="214"/>
      <c r="E50" s="215">
        <v>142.5</v>
      </c>
      <c r="F50" s="214"/>
      <c r="G50" s="215"/>
      <c r="H50" s="214"/>
      <c r="I50" s="215"/>
      <c r="J50" s="214"/>
      <c r="K50" s="215"/>
      <c r="L50" s="214"/>
      <c r="M50" s="215"/>
      <c r="N50" s="214"/>
      <c r="O50" s="215"/>
      <c r="P50" s="214">
        <v>142.5</v>
      </c>
      <c r="Q50" s="215"/>
      <c r="R50" s="214"/>
      <c r="S50" s="215"/>
      <c r="T50" s="214"/>
      <c r="U50" s="215"/>
      <c r="V50" s="214"/>
      <c r="W50" s="215"/>
      <c r="X50" s="362"/>
      <c r="Y50" s="363"/>
      <c r="Z50" s="362"/>
      <c r="AA50" s="215"/>
      <c r="AB50" s="214"/>
      <c r="AC50" s="215"/>
      <c r="AD50" s="214"/>
      <c r="AE50" s="215"/>
      <c r="AF50" s="214"/>
      <c r="AG50" s="215"/>
      <c r="AH50" s="214"/>
      <c r="AI50" s="215"/>
      <c r="AJ50" s="214"/>
      <c r="AK50" s="215"/>
      <c r="AL50" s="214"/>
      <c r="AM50" s="215"/>
      <c r="AN50" s="214"/>
      <c r="AO50" s="215"/>
      <c r="AP50" s="214"/>
      <c r="AQ50" s="215"/>
      <c r="AR50" s="214"/>
      <c r="AS50" s="215"/>
      <c r="AT50" s="214"/>
      <c r="AU50" s="215"/>
      <c r="AV50" s="214"/>
      <c r="AW50" s="319"/>
      <c r="AX50" s="214"/>
      <c r="AY50" s="215"/>
      <c r="AZ50" s="243">
        <f t="shared" si="0"/>
        <v>0</v>
      </c>
    </row>
    <row r="51" spans="1:53" s="79" customFormat="1">
      <c r="A51" s="527">
        <v>43416</v>
      </c>
      <c r="B51" s="280" t="s">
        <v>1131</v>
      </c>
      <c r="C51" s="284" t="s">
        <v>885</v>
      </c>
      <c r="D51" s="467"/>
      <c r="E51" s="215">
        <v>351</v>
      </c>
      <c r="F51" s="214"/>
      <c r="G51" s="215"/>
      <c r="H51" s="214">
        <v>351</v>
      </c>
      <c r="I51" s="215"/>
      <c r="J51" s="214"/>
      <c r="K51" s="215"/>
      <c r="L51" s="214"/>
      <c r="M51" s="215"/>
      <c r="N51" s="214"/>
      <c r="O51" s="215"/>
      <c r="P51" s="214"/>
      <c r="Q51" s="215"/>
      <c r="R51" s="214"/>
      <c r="S51" s="215"/>
      <c r="T51" s="214"/>
      <c r="U51" s="215"/>
      <c r="V51" s="214"/>
      <c r="W51" s="215"/>
      <c r="X51" s="214"/>
      <c r="Y51" s="215"/>
      <c r="Z51" s="214"/>
      <c r="AA51" s="215"/>
      <c r="AB51" s="214"/>
      <c r="AC51" s="215"/>
      <c r="AD51" s="214"/>
      <c r="AE51" s="215"/>
      <c r="AF51" s="214"/>
      <c r="AG51" s="215"/>
      <c r="AH51" s="214"/>
      <c r="AI51" s="215"/>
      <c r="AJ51" s="214"/>
      <c r="AK51" s="215"/>
      <c r="AL51" s="214"/>
      <c r="AM51" s="215"/>
      <c r="AN51" s="214"/>
      <c r="AO51" s="215"/>
      <c r="AP51" s="214"/>
      <c r="AQ51" s="215"/>
      <c r="AR51" s="214"/>
      <c r="AS51" s="215"/>
      <c r="AT51" s="214"/>
      <c r="AU51" s="215"/>
      <c r="AV51" s="214"/>
      <c r="AW51" s="319"/>
      <c r="AX51" s="322"/>
      <c r="AY51" s="215"/>
      <c r="AZ51" s="243">
        <f t="shared" si="0"/>
        <v>0</v>
      </c>
    </row>
    <row r="52" spans="1:53" s="79" customFormat="1">
      <c r="A52" s="527">
        <v>43437</v>
      </c>
      <c r="B52" s="280" t="s">
        <v>1028</v>
      </c>
      <c r="C52" s="284" t="s">
        <v>887</v>
      </c>
      <c r="D52" s="214"/>
      <c r="E52" s="215">
        <v>124.5</v>
      </c>
      <c r="F52" s="214"/>
      <c r="G52" s="215"/>
      <c r="H52" s="214"/>
      <c r="I52" s="215"/>
      <c r="J52" s="214"/>
      <c r="K52" s="215"/>
      <c r="L52" s="214"/>
      <c r="M52" s="215"/>
      <c r="N52" s="214"/>
      <c r="O52" s="215"/>
      <c r="P52" s="214">
        <v>124.5</v>
      </c>
      <c r="Q52" s="215"/>
      <c r="R52" s="214"/>
      <c r="S52" s="215"/>
      <c r="T52" s="214"/>
      <c r="U52" s="215"/>
      <c r="V52" s="214"/>
      <c r="W52" s="215"/>
      <c r="X52" s="214"/>
      <c r="Y52" s="215"/>
      <c r="Z52" s="214"/>
      <c r="AA52" s="215"/>
      <c r="AB52" s="214"/>
      <c r="AC52" s="215"/>
      <c r="AD52" s="214"/>
      <c r="AE52" s="215"/>
      <c r="AF52" s="214"/>
      <c r="AG52" s="215"/>
      <c r="AH52" s="214"/>
      <c r="AI52" s="215"/>
      <c r="AJ52" s="214"/>
      <c r="AK52" s="215"/>
      <c r="AL52" s="214"/>
      <c r="AM52" s="215"/>
      <c r="AN52" s="214"/>
      <c r="AO52" s="215"/>
      <c r="AP52" s="214"/>
      <c r="AQ52" s="215"/>
      <c r="AR52" s="214"/>
      <c r="AS52" s="215"/>
      <c r="AT52" s="214"/>
      <c r="AU52" s="215"/>
      <c r="AV52" s="214"/>
      <c r="AW52" s="319"/>
      <c r="AX52" s="214"/>
      <c r="AY52" s="215"/>
      <c r="AZ52" s="243">
        <f t="shared" si="0"/>
        <v>0</v>
      </c>
    </row>
    <row r="53" spans="1:53" s="79" customFormat="1">
      <c r="A53" s="527">
        <v>43452</v>
      </c>
      <c r="B53" s="280" t="s">
        <v>1132</v>
      </c>
      <c r="C53" s="284" t="s">
        <v>887</v>
      </c>
      <c r="D53" s="214">
        <v>17142</v>
      </c>
      <c r="E53" s="323" t="s">
        <v>359</v>
      </c>
      <c r="F53" s="214"/>
      <c r="G53" s="215"/>
      <c r="H53" s="214"/>
      <c r="I53" s="215"/>
      <c r="J53" s="214"/>
      <c r="K53" s="215"/>
      <c r="L53" s="214"/>
      <c r="M53" s="215"/>
      <c r="N53" s="214"/>
      <c r="O53" s="215"/>
      <c r="P53" s="467" t="s">
        <v>359</v>
      </c>
      <c r="Q53" s="215"/>
      <c r="R53" s="214"/>
      <c r="S53" s="215"/>
      <c r="T53" s="214"/>
      <c r="U53" s="215"/>
      <c r="V53" s="214"/>
      <c r="W53" s="215"/>
      <c r="X53" s="214"/>
      <c r="Y53" s="215"/>
      <c r="Z53" s="214"/>
      <c r="AA53" s="215"/>
      <c r="AB53" s="214"/>
      <c r="AC53" s="215"/>
      <c r="AD53" s="214"/>
      <c r="AE53" s="215"/>
      <c r="AF53" s="214"/>
      <c r="AG53" s="215"/>
      <c r="AH53" s="214"/>
      <c r="AI53" s="215">
        <v>17142</v>
      </c>
      <c r="AJ53" s="214"/>
      <c r="AK53" s="215"/>
      <c r="AL53" s="214"/>
      <c r="AM53" s="215"/>
      <c r="AN53" s="214"/>
      <c r="AO53" s="215"/>
      <c r="AP53" s="214"/>
      <c r="AQ53" s="215"/>
      <c r="AR53" s="214"/>
      <c r="AS53" s="215"/>
      <c r="AT53" s="214"/>
      <c r="AU53" s="215"/>
      <c r="AV53" s="214"/>
      <c r="AW53" s="319"/>
      <c r="AX53" s="214"/>
      <c r="AY53" s="215"/>
      <c r="AZ53" s="243" t="e">
        <f t="shared" si="0"/>
        <v>#VALUE!</v>
      </c>
    </row>
    <row r="54" spans="1:53" s="79" customFormat="1">
      <c r="A54" s="527">
        <v>43066</v>
      </c>
      <c r="B54" s="280" t="s">
        <v>1134</v>
      </c>
      <c r="C54" s="284" t="s">
        <v>886</v>
      </c>
      <c r="D54" s="214"/>
      <c r="E54" s="215">
        <v>796</v>
      </c>
      <c r="F54" s="214"/>
      <c r="G54" s="215"/>
      <c r="H54" s="214"/>
      <c r="I54" s="215"/>
      <c r="J54" s="214"/>
      <c r="K54" s="215"/>
      <c r="L54" s="214"/>
      <c r="M54" s="215"/>
      <c r="N54" s="214"/>
      <c r="O54" s="215"/>
      <c r="P54" s="467">
        <v>796</v>
      </c>
      <c r="Q54" s="215"/>
      <c r="R54" s="214"/>
      <c r="S54" s="215"/>
      <c r="T54" s="214"/>
      <c r="U54" s="215"/>
      <c r="V54" s="214"/>
      <c r="W54" s="215"/>
      <c r="X54" s="214"/>
      <c r="Y54" s="215"/>
      <c r="Z54" s="214"/>
      <c r="AA54" s="215"/>
      <c r="AB54" s="214"/>
      <c r="AC54" s="215"/>
      <c r="AD54" s="214"/>
      <c r="AE54" s="215"/>
      <c r="AF54" s="214"/>
      <c r="AG54" s="215"/>
      <c r="AH54" s="214"/>
      <c r="AI54" s="215"/>
      <c r="AJ54" s="214"/>
      <c r="AK54" s="215"/>
      <c r="AL54" s="214"/>
      <c r="AM54" s="215"/>
      <c r="AN54" s="214"/>
      <c r="AO54" s="215"/>
      <c r="AP54" s="214"/>
      <c r="AQ54" s="215"/>
      <c r="AR54" s="214"/>
      <c r="AS54" s="215"/>
      <c r="AT54" s="214"/>
      <c r="AU54" s="215"/>
      <c r="AV54" s="214"/>
      <c r="AW54" s="319"/>
      <c r="AX54" s="214"/>
      <c r="AY54" s="215"/>
      <c r="AZ54" s="243">
        <f t="shared" si="0"/>
        <v>0</v>
      </c>
    </row>
    <row r="55" spans="1:53" s="79" customFormat="1">
      <c r="A55" s="527">
        <v>43445</v>
      </c>
      <c r="B55" s="280" t="s">
        <v>1133</v>
      </c>
      <c r="C55" s="284" t="s">
        <v>888</v>
      </c>
      <c r="D55" s="214"/>
      <c r="E55" s="215">
        <v>2610</v>
      </c>
      <c r="F55" s="214"/>
      <c r="G55" s="215"/>
      <c r="H55" s="214"/>
      <c r="I55" s="215"/>
      <c r="J55" s="214"/>
      <c r="K55" s="215"/>
      <c r="L55" s="214"/>
      <c r="M55" s="215"/>
      <c r="N55" s="214"/>
      <c r="O55" s="215"/>
      <c r="P55" s="467">
        <v>2610</v>
      </c>
      <c r="Q55" s="215"/>
      <c r="R55" s="214"/>
      <c r="S55" s="215"/>
      <c r="T55" s="214"/>
      <c r="U55" s="215"/>
      <c r="V55" s="214"/>
      <c r="W55" s="215"/>
      <c r="X55" s="214"/>
      <c r="Y55" s="215"/>
      <c r="Z55" s="214"/>
      <c r="AA55" s="215"/>
      <c r="AB55" s="214"/>
      <c r="AC55" s="215"/>
      <c r="AD55" s="214"/>
      <c r="AE55" s="215"/>
      <c r="AF55" s="214"/>
      <c r="AG55" s="215"/>
      <c r="AH55" s="214"/>
      <c r="AI55" s="215"/>
      <c r="AJ55" s="214"/>
      <c r="AK55" s="215"/>
      <c r="AL55" s="214"/>
      <c r="AM55" s="215"/>
      <c r="AN55" s="214"/>
      <c r="AO55" s="215"/>
      <c r="AP55" s="214"/>
      <c r="AQ55" s="215"/>
      <c r="AR55" s="214"/>
      <c r="AS55" s="215"/>
      <c r="AT55" s="214"/>
      <c r="AU55" s="215"/>
      <c r="AV55" s="214"/>
      <c r="AW55" s="319"/>
      <c r="AX55" s="214"/>
      <c r="AY55" s="215"/>
      <c r="AZ55" s="243">
        <f t="shared" si="0"/>
        <v>0</v>
      </c>
    </row>
    <row r="56" spans="1:53" s="79" customFormat="1">
      <c r="A56" s="527">
        <v>43465</v>
      </c>
      <c r="B56" s="280" t="s">
        <v>624</v>
      </c>
      <c r="C56" s="284" t="s">
        <v>887</v>
      </c>
      <c r="D56" s="467">
        <v>32.08</v>
      </c>
      <c r="E56" s="323"/>
      <c r="F56" s="214"/>
      <c r="G56" s="215"/>
      <c r="H56" s="467" t="s">
        <v>359</v>
      </c>
      <c r="I56" s="215"/>
      <c r="J56" s="214"/>
      <c r="K56" s="215"/>
      <c r="L56" s="214"/>
      <c r="M56" s="215"/>
      <c r="N56" s="214"/>
      <c r="O56" s="215"/>
      <c r="P56" s="214"/>
      <c r="Q56" s="215"/>
      <c r="R56" s="214"/>
      <c r="S56" s="215"/>
      <c r="T56" s="214"/>
      <c r="U56" s="215"/>
      <c r="V56" s="214"/>
      <c r="W56" s="215"/>
      <c r="X56" s="214"/>
      <c r="Y56" s="215"/>
      <c r="Z56" s="214"/>
      <c r="AA56" s="215"/>
      <c r="AB56" s="214"/>
      <c r="AC56" s="215"/>
      <c r="AD56" s="214"/>
      <c r="AE56" s="215"/>
      <c r="AF56" s="214"/>
      <c r="AG56" s="323">
        <v>32.08</v>
      </c>
      <c r="AH56" s="214"/>
      <c r="AI56" s="215"/>
      <c r="AJ56" s="214"/>
      <c r="AK56" s="215"/>
      <c r="AL56" s="214"/>
      <c r="AM56" s="215"/>
      <c r="AN56" s="214"/>
      <c r="AO56" s="215"/>
      <c r="AP56" s="214"/>
      <c r="AQ56" s="215"/>
      <c r="AR56" s="214"/>
      <c r="AS56" s="215"/>
      <c r="AT56" s="214"/>
      <c r="AU56" s="215"/>
      <c r="AV56" s="214"/>
      <c r="AW56" s="319"/>
      <c r="AX56" s="214"/>
      <c r="AY56" s="215"/>
      <c r="AZ56" s="243" t="e">
        <f t="shared" si="0"/>
        <v>#VALUE!</v>
      </c>
    </row>
    <row r="57" spans="1:53" s="79" customFormat="1">
      <c r="A57" s="527">
        <v>43465</v>
      </c>
      <c r="B57" s="280" t="s">
        <v>625</v>
      </c>
      <c r="C57" s="284" t="s">
        <v>713</v>
      </c>
      <c r="D57" s="214"/>
      <c r="E57" s="215"/>
      <c r="F57" s="214"/>
      <c r="G57" s="215"/>
      <c r="H57" s="214"/>
      <c r="I57" s="215"/>
      <c r="J57" s="214"/>
      <c r="K57" s="215"/>
      <c r="L57" s="214"/>
      <c r="M57" s="215"/>
      <c r="N57" s="214"/>
      <c r="O57" s="215"/>
      <c r="P57" s="214"/>
      <c r="Q57" s="215"/>
      <c r="R57" s="214"/>
      <c r="S57" s="215"/>
      <c r="T57" s="214"/>
      <c r="U57" s="215"/>
      <c r="V57" s="214"/>
      <c r="W57" s="215"/>
      <c r="X57" s="214"/>
      <c r="Y57" s="215"/>
      <c r="Z57" s="214"/>
      <c r="AA57" s="215"/>
      <c r="AB57" s="214"/>
      <c r="AC57" s="215"/>
      <c r="AD57" s="214">
        <v>3071.77</v>
      </c>
      <c r="AE57" s="215"/>
      <c r="AF57" s="214"/>
      <c r="AG57" s="323">
        <v>3071.77</v>
      </c>
      <c r="AH57" s="214"/>
      <c r="AI57" s="215"/>
      <c r="AJ57" s="214"/>
      <c r="AK57" s="215"/>
      <c r="AL57" s="214"/>
      <c r="AM57" s="215"/>
      <c r="AN57" s="214"/>
      <c r="AO57" s="215"/>
      <c r="AP57" s="214"/>
      <c r="AQ57" s="215"/>
      <c r="AR57" s="214"/>
      <c r="AS57" s="215"/>
      <c r="AT57" s="214"/>
      <c r="AU57" s="215"/>
      <c r="AV57" s="214"/>
      <c r="AW57" s="319"/>
      <c r="AX57" s="214"/>
      <c r="AY57" s="215"/>
      <c r="AZ57" s="243">
        <f t="shared" si="0"/>
        <v>0</v>
      </c>
    </row>
    <row r="58" spans="1:53" s="79" customFormat="1">
      <c r="A58" s="527"/>
      <c r="B58" s="280"/>
      <c r="C58" s="284"/>
      <c r="D58" s="214"/>
      <c r="E58" s="215"/>
      <c r="F58" s="214"/>
      <c r="G58" s="215"/>
      <c r="H58" s="214"/>
      <c r="I58" s="215"/>
      <c r="J58" s="214"/>
      <c r="K58" s="215"/>
      <c r="L58" s="214"/>
      <c r="M58" s="215"/>
      <c r="N58" s="214"/>
      <c r="O58" s="215"/>
      <c r="P58" s="214"/>
      <c r="Q58" s="215"/>
      <c r="R58" s="214"/>
      <c r="S58" s="215"/>
      <c r="T58" s="214"/>
      <c r="U58" s="215"/>
      <c r="V58" s="214"/>
      <c r="W58" s="215"/>
      <c r="X58" s="214"/>
      <c r="Y58" s="215"/>
      <c r="Z58" s="214"/>
      <c r="AA58" s="215"/>
      <c r="AB58" s="214"/>
      <c r="AC58" s="215"/>
      <c r="AD58" s="214"/>
      <c r="AE58" s="215"/>
      <c r="AF58" s="214"/>
      <c r="AG58" s="215"/>
      <c r="AH58" s="214"/>
      <c r="AI58" s="215"/>
      <c r="AJ58" s="214"/>
      <c r="AK58" s="215"/>
      <c r="AL58" s="214"/>
      <c r="AM58" s="215"/>
      <c r="AN58" s="214"/>
      <c r="AO58" s="215"/>
      <c r="AP58" s="214"/>
      <c r="AQ58" s="215"/>
      <c r="AR58" s="214"/>
      <c r="AS58" s="215"/>
      <c r="AT58" s="214"/>
      <c r="AU58" s="215"/>
      <c r="AV58" s="214"/>
      <c r="AW58" s="319"/>
      <c r="AX58" s="214"/>
      <c r="AY58" s="215"/>
      <c r="AZ58" s="243">
        <f t="shared" si="0"/>
        <v>0</v>
      </c>
    </row>
    <row r="59" spans="1:53" s="79" customFormat="1">
      <c r="A59" s="234"/>
      <c r="B59" s="257"/>
      <c r="C59" s="388"/>
      <c r="D59" s="214"/>
      <c r="E59" s="215"/>
      <c r="F59" s="214"/>
      <c r="G59" s="215"/>
      <c r="H59" s="214"/>
      <c r="I59" s="215"/>
      <c r="J59" s="214"/>
      <c r="K59" s="215"/>
      <c r="L59" s="214"/>
      <c r="M59" s="215"/>
      <c r="N59" s="214"/>
      <c r="O59" s="215"/>
      <c r="P59" s="214"/>
      <c r="Q59" s="215"/>
      <c r="R59" s="214"/>
      <c r="S59" s="215"/>
      <c r="T59" s="214"/>
      <c r="U59" s="215"/>
      <c r="V59" s="214"/>
      <c r="W59" s="215"/>
      <c r="X59" s="214"/>
      <c r="Y59" s="215"/>
      <c r="Z59" s="214"/>
      <c r="AA59" s="215"/>
      <c r="AB59" s="214"/>
      <c r="AC59" s="215"/>
      <c r="AD59" s="214"/>
      <c r="AE59" s="215"/>
      <c r="AF59" s="214"/>
      <c r="AG59" s="215"/>
      <c r="AH59" s="214"/>
      <c r="AI59" s="215"/>
      <c r="AJ59" s="214"/>
      <c r="AK59" s="215"/>
      <c r="AL59" s="214"/>
      <c r="AM59" s="215"/>
      <c r="AN59" s="214"/>
      <c r="AO59" s="215"/>
      <c r="AP59" s="214"/>
      <c r="AQ59" s="215"/>
      <c r="AR59" s="214"/>
      <c r="AS59" s="215"/>
      <c r="AT59" s="214"/>
      <c r="AU59" s="215"/>
      <c r="AV59" s="214"/>
      <c r="AW59" s="319"/>
      <c r="AX59" s="214"/>
      <c r="AY59" s="215"/>
      <c r="AZ59" s="243">
        <f t="shared" si="0"/>
        <v>0</v>
      </c>
    </row>
    <row r="60" spans="1:53" s="479" customFormat="1">
      <c r="A60" s="475"/>
      <c r="B60" s="476"/>
      <c r="C60" s="472"/>
      <c r="D60" s="473"/>
      <c r="E60" s="474"/>
      <c r="F60" s="473"/>
      <c r="G60" s="474"/>
      <c r="H60" s="473"/>
      <c r="I60" s="474"/>
      <c r="J60" s="473"/>
      <c r="K60" s="474"/>
      <c r="L60" s="473"/>
      <c r="M60" s="474"/>
      <c r="N60" s="473"/>
      <c r="O60" s="474"/>
      <c r="P60" s="477"/>
      <c r="Q60" s="474"/>
      <c r="R60" s="473"/>
      <c r="S60" s="474"/>
      <c r="T60" s="473"/>
      <c r="U60" s="474"/>
      <c r="V60" s="473"/>
      <c r="W60" s="474"/>
      <c r="X60" s="473"/>
      <c r="Y60" s="474"/>
      <c r="Z60" s="473"/>
      <c r="AA60" s="474"/>
      <c r="AB60" s="473"/>
      <c r="AC60" s="474"/>
      <c r="AD60" s="473"/>
      <c r="AE60" s="474"/>
      <c r="AF60" s="473"/>
      <c r="AG60" s="478"/>
      <c r="AH60" s="473"/>
      <c r="AI60" s="474"/>
      <c r="AJ60" s="473"/>
      <c r="AK60" s="474"/>
      <c r="AL60" s="473"/>
      <c r="AM60" s="474"/>
      <c r="AN60" s="473"/>
      <c r="AO60" s="474"/>
      <c r="AP60" s="473"/>
      <c r="AQ60" s="474"/>
      <c r="AR60" s="473"/>
      <c r="AS60" s="474"/>
      <c r="AT60" s="473"/>
      <c r="AU60" s="474"/>
      <c r="AV60" s="473"/>
      <c r="AW60" s="477"/>
      <c r="AX60" s="473"/>
      <c r="AY60" s="474"/>
      <c r="AZ60" s="496">
        <f t="shared" si="0"/>
        <v>0</v>
      </c>
    </row>
    <row r="61" spans="1:53" s="79" customFormat="1">
      <c r="A61" s="234"/>
      <c r="B61" s="280"/>
      <c r="C61" s="284"/>
      <c r="D61" s="214"/>
      <c r="E61" s="215"/>
      <c r="F61" s="214"/>
      <c r="G61" s="215"/>
      <c r="H61" s="214"/>
      <c r="I61" s="215"/>
      <c r="J61" s="214"/>
      <c r="K61" s="215"/>
      <c r="L61" s="214"/>
      <c r="M61" s="215"/>
      <c r="N61" s="214"/>
      <c r="O61" s="215"/>
      <c r="P61" s="214"/>
      <c r="Q61" s="215"/>
      <c r="R61" s="214"/>
      <c r="S61" s="215"/>
      <c r="T61" s="214"/>
      <c r="U61" s="215"/>
      <c r="V61" s="214"/>
      <c r="W61" s="215"/>
      <c r="X61" s="214"/>
      <c r="Y61" s="215"/>
      <c r="Z61" s="214"/>
      <c r="AA61" s="215"/>
      <c r="AB61" s="214"/>
      <c r="AC61" s="215"/>
      <c r="AD61" s="214"/>
      <c r="AE61" s="215"/>
      <c r="AF61" s="214"/>
      <c r="AG61" s="215"/>
      <c r="AH61" s="214"/>
      <c r="AI61" s="215"/>
      <c r="AJ61" s="214"/>
      <c r="AK61" s="215"/>
      <c r="AL61" s="214"/>
      <c r="AM61" s="215"/>
      <c r="AN61" s="214"/>
      <c r="AO61" s="215"/>
      <c r="AP61" s="214"/>
      <c r="AQ61" s="215"/>
      <c r="AR61" s="214"/>
      <c r="AS61" s="215"/>
      <c r="AT61" s="214"/>
      <c r="AU61" s="215"/>
      <c r="AV61" s="214"/>
      <c r="AW61" s="319"/>
      <c r="AX61" s="214"/>
      <c r="AY61" s="215"/>
      <c r="AZ61" s="243">
        <f t="shared" si="0"/>
        <v>0</v>
      </c>
    </row>
    <row r="62" spans="1:53" s="202" customFormat="1">
      <c r="A62" s="235"/>
      <c r="B62" s="207" t="s">
        <v>41</v>
      </c>
      <c r="C62" s="207"/>
      <c r="D62" s="216">
        <f>SUM(D9:D61)</f>
        <v>125955.81000000001</v>
      </c>
      <c r="E62" s="217"/>
      <c r="F62" s="216">
        <f>SUM(F9:F61)</f>
        <v>5000</v>
      </c>
      <c r="G62" s="217"/>
      <c r="H62" s="216">
        <f>SUM(H9:H61)</f>
        <v>20122.349999999999</v>
      </c>
      <c r="I62" s="217"/>
      <c r="J62" s="216">
        <f>SUM(J9:J61)</f>
        <v>5220.8</v>
      </c>
      <c r="K62" s="217"/>
      <c r="L62" s="216">
        <f>SUM(L9:L61)</f>
        <v>1715</v>
      </c>
      <c r="M62" s="217"/>
      <c r="N62" s="216">
        <f>SUM(N9:N61)</f>
        <v>0</v>
      </c>
      <c r="O62" s="217"/>
      <c r="P62" s="216">
        <f>SUM(P9:P61)</f>
        <v>10054.75</v>
      </c>
      <c r="Q62" s="217"/>
      <c r="R62" s="216">
        <f>SUM(R9:R61)</f>
        <v>2500</v>
      </c>
      <c r="S62" s="217"/>
      <c r="T62" s="216">
        <f>SUM(T9:T61)</f>
        <v>751</v>
      </c>
      <c r="U62" s="217"/>
      <c r="V62" s="216">
        <f>SUM(V9:V61)</f>
        <v>0</v>
      </c>
      <c r="W62" s="217"/>
      <c r="X62" s="216">
        <f>SUM(X9:X61)</f>
        <v>0</v>
      </c>
      <c r="Y62" s="217"/>
      <c r="Z62" s="216">
        <f>SUM(Z9:Z61)</f>
        <v>5625</v>
      </c>
      <c r="AA62" s="217"/>
      <c r="AB62" s="216">
        <f>SUM(AB9:AB61)</f>
        <v>0</v>
      </c>
      <c r="AC62" s="217"/>
      <c r="AD62" s="216">
        <f>SUM(AD9:AD57)</f>
        <v>735879.88</v>
      </c>
      <c r="AE62" s="217"/>
      <c r="AF62" s="216">
        <f>SUM(AF9:AF61)</f>
        <v>0</v>
      </c>
      <c r="AG62" s="217"/>
      <c r="AH62" s="216">
        <f>SUM(AH9:AH61)</f>
        <v>0</v>
      </c>
      <c r="AI62" s="217"/>
      <c r="AJ62" s="216">
        <f>SUM(AJ9:AJ61)</f>
        <v>950000</v>
      </c>
      <c r="AK62" s="217"/>
      <c r="AL62" s="216">
        <f>SUM(AL9:AL61)</f>
        <v>112480</v>
      </c>
      <c r="AM62" s="217"/>
      <c r="AN62" s="216">
        <f>SUM(AN9:AN61)</f>
        <v>20000</v>
      </c>
      <c r="AO62" s="217"/>
      <c r="AP62" s="216">
        <f>SUM(AP9:AP61)</f>
        <v>0</v>
      </c>
      <c r="AQ62" s="217"/>
      <c r="AR62" s="216">
        <f>SUM(AR9:AR61)</f>
        <v>0</v>
      </c>
      <c r="AS62" s="217"/>
      <c r="AT62" s="216">
        <f>SUM(AT9:AT61)</f>
        <v>0</v>
      </c>
      <c r="AU62" s="217"/>
      <c r="AV62" s="216"/>
      <c r="AW62" s="375"/>
      <c r="AX62" s="216"/>
      <c r="AY62" s="217"/>
      <c r="AZ62" s="203">
        <f t="shared" si="0"/>
        <v>1995304.5899999999</v>
      </c>
      <c r="BA62" s="202" t="s">
        <v>28</v>
      </c>
    </row>
    <row r="63" spans="1:53" s="202" customFormat="1">
      <c r="A63" s="235"/>
      <c r="B63" s="204" t="s">
        <v>42</v>
      </c>
      <c r="C63" s="204"/>
      <c r="D63" s="218"/>
      <c r="E63" s="219">
        <f>SUM(E9:E61)</f>
        <v>56068.800000000003</v>
      </c>
      <c r="F63" s="218"/>
      <c r="G63" s="219">
        <f>SUM(G9:G61)</f>
        <v>0</v>
      </c>
      <c r="H63" s="218"/>
      <c r="I63" s="219">
        <f>SUM(I9:I61)</f>
        <v>6236.32</v>
      </c>
      <c r="J63" s="218"/>
      <c r="K63" s="219">
        <f>SUM(K9:K61)</f>
        <v>0</v>
      </c>
      <c r="L63" s="218"/>
      <c r="M63" s="219">
        <f>SUM(M9:M61)</f>
        <v>0</v>
      </c>
      <c r="N63" s="218"/>
      <c r="O63" s="219">
        <f>SUM(O9:O61)</f>
        <v>0</v>
      </c>
      <c r="P63" s="218"/>
      <c r="Q63" s="219">
        <f>SUM(Q9:Q61)</f>
        <v>0</v>
      </c>
      <c r="R63" s="218"/>
      <c r="S63" s="219">
        <f>SUM(S9:S61)</f>
        <v>0</v>
      </c>
      <c r="T63" s="218"/>
      <c r="U63" s="219">
        <f>SUM(U9:U61)</f>
        <v>0</v>
      </c>
      <c r="V63" s="218"/>
      <c r="W63" s="219">
        <f>SUM(W9:W61)</f>
        <v>0</v>
      </c>
      <c r="X63" s="218"/>
      <c r="Y63" s="219">
        <f>SUM(Y9:Y61)</f>
        <v>0</v>
      </c>
      <c r="Z63" s="218"/>
      <c r="AA63" s="219">
        <f>SUM(AA9:AA61)</f>
        <v>0</v>
      </c>
      <c r="AB63" s="218"/>
      <c r="AC63" s="219">
        <f>SUM(AC9:AC61)</f>
        <v>36178.120000000003</v>
      </c>
      <c r="AD63" s="218"/>
      <c r="AE63" s="219"/>
      <c r="AF63" s="218"/>
      <c r="AG63" s="219">
        <f>SUM(AG9:AG61)</f>
        <v>3103.85</v>
      </c>
      <c r="AH63" s="218"/>
      <c r="AI63" s="219">
        <f>SUM(AI9:AI61)</f>
        <v>17142</v>
      </c>
      <c r="AJ63" s="218"/>
      <c r="AK63" s="219">
        <f>SUM(AK9:AK61)</f>
        <v>0</v>
      </c>
      <c r="AL63" s="218"/>
      <c r="AM63" s="219">
        <f>SUM(AM9:AM61)</f>
        <v>0</v>
      </c>
      <c r="AN63" s="218"/>
      <c r="AO63" s="219">
        <f>SUM(AO9:AO61)</f>
        <v>0</v>
      </c>
      <c r="AP63" s="218"/>
      <c r="AQ63" s="219">
        <f>SUM(AQ9:AQ61)</f>
        <v>1082480</v>
      </c>
      <c r="AR63" s="218"/>
      <c r="AS63" s="219">
        <f>SUM(AS9:AS61)</f>
        <v>724291.77</v>
      </c>
      <c r="AT63" s="218"/>
      <c r="AU63" s="219">
        <f>SUM(AU9:AU61)</f>
        <v>69814.63</v>
      </c>
      <c r="AV63" s="218"/>
      <c r="AW63" s="376"/>
      <c r="AX63" s="218"/>
      <c r="AY63" s="219">
        <f>SUM(AY9:AY61)</f>
        <v>0</v>
      </c>
      <c r="AZ63" s="203">
        <f t="shared" si="0"/>
        <v>-1995315.4900000002</v>
      </c>
      <c r="BA63" s="202" t="s">
        <v>29</v>
      </c>
    </row>
    <row r="64" spans="1:53" s="202" customFormat="1">
      <c r="A64" s="235"/>
      <c r="B64" s="204" t="s">
        <v>197</v>
      </c>
      <c r="C64" s="204"/>
      <c r="D64" s="220">
        <f>IF(D62&gt;=E63,D62-E63,"")</f>
        <v>69887.010000000009</v>
      </c>
      <c r="E64" s="221" t="str">
        <f>IF(D62&lt;E63,E63-D62,"")</f>
        <v/>
      </c>
      <c r="F64" s="220">
        <f>IF(F62&gt;=G63,F62-G63,"")</f>
        <v>5000</v>
      </c>
      <c r="G64" s="221" t="str">
        <f>IF(F62&lt;G63,G63-F62,"")</f>
        <v/>
      </c>
      <c r="H64" s="220">
        <f>IF(H62&gt;=I63,H62-I63,"")</f>
        <v>13886.029999999999</v>
      </c>
      <c r="I64" s="221" t="str">
        <f>IF(H62&lt;I63,I63-H62,"")</f>
        <v/>
      </c>
      <c r="J64" s="220">
        <f>IF(J62&gt;=K63,J62-K63,"")</f>
        <v>5220.8</v>
      </c>
      <c r="K64" s="221" t="str">
        <f>IF(J62&lt;K63,K63-J62,"")</f>
        <v/>
      </c>
      <c r="L64" s="220">
        <f>IF(L62&gt;=M63,L62-M63,"")</f>
        <v>1715</v>
      </c>
      <c r="M64" s="221" t="str">
        <f>IF(L62&lt;M63,M63-L62,"")</f>
        <v/>
      </c>
      <c r="N64" s="220">
        <f>IF(N62&gt;=O63,N62-O63,"")</f>
        <v>0</v>
      </c>
      <c r="O64" s="221" t="str">
        <f>IF(N62&lt;O63,O63-N62,"")</f>
        <v/>
      </c>
      <c r="P64" s="220">
        <f>IF(P62&gt;=Q63,P62-Q63,"")</f>
        <v>10054.75</v>
      </c>
      <c r="Q64" s="221" t="str">
        <f>IF(P62&lt;Q63,Q63-P62,"")</f>
        <v/>
      </c>
      <c r="R64" s="220">
        <f>IF(R62&gt;=S63,R62-S63,"")</f>
        <v>2500</v>
      </c>
      <c r="S64" s="221" t="str">
        <f>IF(R62&lt;S63,S63-R62,"")</f>
        <v/>
      </c>
      <c r="T64" s="220">
        <f>IF(T62&gt;=U63,T62-U63,"")</f>
        <v>751</v>
      </c>
      <c r="U64" s="221" t="str">
        <f>IF(T62&lt;U63,U63-T62,"")</f>
        <v/>
      </c>
      <c r="V64" s="220">
        <f>IF(V62&gt;=W63,V62-W63,"")</f>
        <v>0</v>
      </c>
      <c r="W64" s="221" t="str">
        <f>IF(V62&lt;W63,W63-V62,"")</f>
        <v/>
      </c>
      <c r="X64" s="220">
        <f>IF(X62&gt;=Y63,X62-Y63,"")</f>
        <v>0</v>
      </c>
      <c r="Y64" s="221" t="str">
        <f>IF(X62&lt;Y63,Y63-X62,"")</f>
        <v/>
      </c>
      <c r="Z64" s="220">
        <f>IF(Z62&gt;=AA63,Z62-AA63,"")</f>
        <v>5625</v>
      </c>
      <c r="AA64" s="221" t="str">
        <f>IF(Z62&lt;AA63,AA63-Z62,"")</f>
        <v/>
      </c>
      <c r="AB64" s="220" t="str">
        <f>IF(AB62&gt;=AC63,AB62-AC63,"")</f>
        <v/>
      </c>
      <c r="AC64" s="221">
        <f>IF(AB62&lt;AC63,AC63-AB62,"")</f>
        <v>36178.120000000003</v>
      </c>
      <c r="AD64" s="220">
        <f>IF(AD62&gt;=AE63,AD62-AE63,"")</f>
        <v>735879.88</v>
      </c>
      <c r="AE64" s="221" t="str">
        <f>IF(AD62&lt;AE63,AE63-AD62,"")</f>
        <v/>
      </c>
      <c r="AF64" s="220" t="str">
        <f>IF(AF62&gt;=AG63,AF62-AG63,"")</f>
        <v/>
      </c>
      <c r="AG64" s="220">
        <f>IF(AF62&lt;AG63,AG63-AF62,"")</f>
        <v>3103.85</v>
      </c>
      <c r="AH64" s="220" t="str">
        <f>IF(AH62&gt;=AI63,AH62-AI63,"")</f>
        <v/>
      </c>
      <c r="AI64" s="220">
        <f>IF(AI62&gt;=AJ63,AI62-AJ63,"")</f>
        <v>0</v>
      </c>
      <c r="AJ64" s="220">
        <f>IF(AJ62&gt;=AK63,AJ62-AK63,"")</f>
        <v>950000</v>
      </c>
      <c r="AK64" s="221" t="str">
        <f>IF(AJ62&lt;AK63,AK63-AJ62,"")</f>
        <v/>
      </c>
      <c r="AL64" s="220">
        <f>IF(AL62&gt;=AM63,AL62-AM63,"")</f>
        <v>112480</v>
      </c>
      <c r="AM64" s="221" t="str">
        <f>IF(AL62&lt;AM63,AM63-AL62,"")</f>
        <v/>
      </c>
      <c r="AN64" s="220">
        <f>IF(AN62&gt;=AO63,AN62-AO63,"")</f>
        <v>20000</v>
      </c>
      <c r="AO64" s="221" t="str">
        <f>IF(AN62&lt;AO63,AO63-AN62,"")</f>
        <v/>
      </c>
      <c r="AP64" s="220" t="str">
        <f>IF(AP62&gt;=AQ63,AP62-AQ63,"")</f>
        <v/>
      </c>
      <c r="AQ64" s="221">
        <f>IF(AP62&lt;AQ63,AQ63-AP62,"")</f>
        <v>1082480</v>
      </c>
      <c r="AR64" s="220" t="str">
        <f>IF(AR62&gt;=AS63,AR62-AS63,"")</f>
        <v/>
      </c>
      <c r="AS64" s="221">
        <f>IF(AR62&lt;AS63,AS63-AR62,"")</f>
        <v>724291.77</v>
      </c>
      <c r="AT64" s="220" t="str">
        <f>IF(AT62&gt;=AU63,AT62-AU63,"")</f>
        <v/>
      </c>
      <c r="AU64" s="221">
        <f>IF(AT62&lt;AU63,AU63-AT62,"")</f>
        <v>69814.63</v>
      </c>
      <c r="AV64" s="220">
        <f>IF(AV62&gt;=AW63,AV62-AW63,"")</f>
        <v>0</v>
      </c>
      <c r="AW64" s="220">
        <f>IF(AW62&gt;=AX63,AW62-AX63,"")</f>
        <v>0</v>
      </c>
      <c r="AX64" s="220">
        <f>IF(AX62&gt;=AY63,AX62-AY63,"")</f>
        <v>0</v>
      </c>
      <c r="AY64" s="221" t="str">
        <f>IF(AX62&lt;AY63,AY63-AX62,"")</f>
        <v/>
      </c>
      <c r="AZ64" s="203">
        <f>SUM(AZ62:AZ63)</f>
        <v>-10.900000000372529</v>
      </c>
    </row>
    <row r="65" spans="1:70" s="202" customFormat="1">
      <c r="A65" s="235"/>
      <c r="B65" s="207" t="s">
        <v>172</v>
      </c>
      <c r="C65" s="207"/>
      <c r="D65" s="216"/>
      <c r="E65" s="217"/>
      <c r="F65" s="216"/>
      <c r="G65" s="217"/>
      <c r="H65" s="216"/>
      <c r="I65" s="217"/>
      <c r="J65" s="216"/>
      <c r="K65" s="217"/>
      <c r="L65" s="216"/>
      <c r="M65" s="217"/>
      <c r="N65" s="216"/>
      <c r="O65" s="217"/>
      <c r="P65" s="216"/>
      <c r="Q65" s="217"/>
      <c r="R65" s="216"/>
      <c r="S65" s="217"/>
      <c r="T65" s="216"/>
      <c r="U65" s="217"/>
      <c r="V65" s="216"/>
      <c r="W65" s="217"/>
      <c r="X65" s="216"/>
      <c r="Y65" s="217"/>
      <c r="Z65" s="216"/>
      <c r="AA65" s="217"/>
      <c r="AB65" s="216"/>
      <c r="AC65" s="217"/>
      <c r="AD65" s="216"/>
      <c r="AE65" s="217"/>
      <c r="AF65" s="216"/>
      <c r="AG65" s="217"/>
      <c r="AH65" s="216"/>
      <c r="AI65" s="217"/>
      <c r="AJ65" s="216"/>
      <c r="AK65" s="217"/>
      <c r="AL65" s="216"/>
      <c r="AM65" s="217"/>
      <c r="AN65" s="216"/>
      <c r="AO65" s="217"/>
      <c r="AP65" s="216"/>
      <c r="AQ65" s="217"/>
      <c r="AR65" s="216"/>
      <c r="AS65" s="246">
        <v>535.53</v>
      </c>
      <c r="AT65" s="216"/>
      <c r="AU65" s="521">
        <v>11136</v>
      </c>
      <c r="AV65" s="216"/>
      <c r="AW65" s="375"/>
      <c r="AX65" s="216"/>
      <c r="AY65" s="217"/>
      <c r="AZ65" s="193">
        <f>+D65-E65+F65-G65+H65-I65+J65-K65+L65-M65+N65-O65+P65-Q65+R65-S65+T65-U65+V65-W65+X65-Y65+Z65-AA65+AB65-AC65+AD65-AE65+AF65-AG65+AH65-AI65+AJ65-AK65+AL65-AM65+AN65-AO65+AP65-AQ65+AR65-AS65+AT65-AU65+AV65-AW65+AX65-AY65</f>
        <v>-11671.53</v>
      </c>
      <c r="BA65" s="203"/>
    </row>
    <row r="66" spans="1:70" s="202" customFormat="1" ht="13.5" thickBot="1">
      <c r="A66" s="236"/>
      <c r="B66" s="275" t="s">
        <v>839</v>
      </c>
      <c r="C66" s="237"/>
      <c r="D66" s="238">
        <f>D64+D65</f>
        <v>69887.010000000009</v>
      </c>
      <c r="E66" s="239"/>
      <c r="F66" s="238"/>
      <c r="G66"/>
      <c r="H66" s="238"/>
      <c r="I66" s="239"/>
      <c r="J66" s="238"/>
      <c r="K66" s="239"/>
      <c r="L66" s="238"/>
      <c r="M66" s="239"/>
      <c r="N66" s="238"/>
      <c r="O66" s="239"/>
      <c r="P66" s="238"/>
      <c r="Q66" s="239"/>
      <c r="R66" s="238"/>
      <c r="S66" s="239"/>
      <c r="T66" s="238"/>
      <c r="U66" s="239"/>
      <c r="V66" s="238"/>
      <c r="W66" s="239"/>
      <c r="X66" s="238"/>
      <c r="Y66" s="239"/>
      <c r="Z66" s="238"/>
      <c r="AA66" s="239"/>
      <c r="AB66" s="238"/>
      <c r="AC66" s="239"/>
      <c r="AD66" s="238">
        <f>AD64+AD65</f>
        <v>735879.88</v>
      </c>
      <c r="AE66" s="239"/>
      <c r="AF66" s="238"/>
      <c r="AG66" s="239"/>
      <c r="AH66" s="238"/>
      <c r="AI66" s="239"/>
      <c r="AJ66" s="238">
        <f>AJ64+AJ65</f>
        <v>950000</v>
      </c>
      <c r="AK66" s="239"/>
      <c r="AL66" s="238">
        <f>AL64+AL65</f>
        <v>112480</v>
      </c>
      <c r="AM66" s="239"/>
      <c r="AN66" s="238">
        <f>AN64+AN65</f>
        <v>20000</v>
      </c>
      <c r="AO66" s="239"/>
      <c r="AP66" s="238"/>
      <c r="AQ66" s="239">
        <f>AQ64+AQ65</f>
        <v>1082480</v>
      </c>
      <c r="AR66" s="238"/>
      <c r="AS66" s="239">
        <f>AS64+AS65</f>
        <v>724827.3</v>
      </c>
      <c r="AT66" s="238"/>
      <c r="AU66" s="239">
        <f>AU64+AU65</f>
        <v>80950.63</v>
      </c>
      <c r="AV66" s="238"/>
      <c r="AW66" s="378">
        <f>AW64+AW65-AV65</f>
        <v>0</v>
      </c>
      <c r="AX66" s="238">
        <f>AX64+AX65</f>
        <v>0</v>
      </c>
      <c r="AY66" s="239"/>
      <c r="AZ66" s="193" t="e">
        <f>+D66-E66+F66-#REF!+H66-I66+J66-K66+L66-M66+N66-O66+P66-Q66+R66-S66+T66-U66+V66-W66+X66-Y66+Z66-AA66+AB66-AC66+AD66-AE66+AF66-AG66+AH66-AI66+AJ66-AK66+AL66-AM66+AN66-AO66+AP66-AQ66+AR66-AS66+AT66-AU66+AV66-AW66+AX66-AY66</f>
        <v>#REF!</v>
      </c>
    </row>
    <row r="67" spans="1:70">
      <c r="B67" s="158"/>
      <c r="E67" s="113"/>
      <c r="F67" s="159"/>
      <c r="AZ67" s="113"/>
    </row>
    <row r="68" spans="1:70">
      <c r="B68" s="561"/>
      <c r="C68" s="561"/>
      <c r="D68" s="479"/>
      <c r="E68" s="43"/>
      <c r="F68" s="113"/>
    </row>
    <row r="69" spans="1:70">
      <c r="BR69" s="113"/>
    </row>
    <row r="70" spans="1:70" ht="24.75">
      <c r="B70" s="552" t="s">
        <v>1136</v>
      </c>
      <c r="C70" s="552"/>
      <c r="D70" s="552"/>
      <c r="E70" s="552"/>
      <c r="F70" s="552"/>
    </row>
    <row r="71" spans="1:70" ht="19.5">
      <c r="B71" s="148" t="s">
        <v>51</v>
      </c>
      <c r="C71" s="148"/>
      <c r="D71" s="510">
        <v>2018</v>
      </c>
      <c r="E71" s="502">
        <v>2017</v>
      </c>
      <c r="F71" s="338" t="s">
        <v>894</v>
      </c>
    </row>
    <row r="72" spans="1:70">
      <c r="B72" s="35"/>
      <c r="D72" s="506"/>
      <c r="F72" s="331"/>
    </row>
    <row r="73" spans="1:70">
      <c r="B73" s="33" t="s">
        <v>52</v>
      </c>
      <c r="D73" s="506"/>
      <c r="F73" s="331"/>
    </row>
    <row r="74" spans="1:70">
      <c r="B74" s="33" t="s">
        <v>53</v>
      </c>
      <c r="D74" s="506"/>
      <c r="F74" s="331"/>
      <c r="H74" s="35"/>
      <c r="AF74" s="34"/>
      <c r="AG74" s="34"/>
    </row>
    <row r="75" spans="1:70">
      <c r="B75" s="276" t="s">
        <v>670</v>
      </c>
      <c r="C75" s="177"/>
      <c r="D75" s="507">
        <v>69887.009999999995</v>
      </c>
      <c r="E75" s="440">
        <v>61298.29</v>
      </c>
      <c r="F75" s="441">
        <f>D75-E75</f>
        <v>8588.7199999999939</v>
      </c>
      <c r="G75" s="77"/>
      <c r="H75" s="64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5"/>
      <c r="AG75" s="75"/>
    </row>
    <row r="76" spans="1:70">
      <c r="B76" s="276" t="s">
        <v>703</v>
      </c>
      <c r="C76" s="177"/>
      <c r="D76" s="507">
        <f>$AD$62-$AE$63</f>
        <v>735879.88</v>
      </c>
      <c r="E76" s="440">
        <v>732808.11</v>
      </c>
      <c r="F76" s="441">
        <f>D76-E76</f>
        <v>3071.7700000000186</v>
      </c>
      <c r="G76" s="77"/>
      <c r="H76" s="64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5"/>
      <c r="AG76" s="75"/>
    </row>
    <row r="77" spans="1:70">
      <c r="B77" s="276" t="s">
        <v>32</v>
      </c>
      <c r="C77" s="177" t="s">
        <v>707</v>
      </c>
      <c r="D77" s="507">
        <f>$AX$62-$AY$63</f>
        <v>0</v>
      </c>
      <c r="E77" s="440">
        <v>0</v>
      </c>
      <c r="F77" s="441">
        <f>D77-E77</f>
        <v>0</v>
      </c>
      <c r="G77" s="77"/>
      <c r="H77" s="64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5"/>
      <c r="AG77" s="75"/>
    </row>
    <row r="78" spans="1:70">
      <c r="B78" s="33" t="s">
        <v>60</v>
      </c>
      <c r="D78" s="508">
        <f>SUM(D75:D77)</f>
        <v>805766.89</v>
      </c>
      <c r="E78" s="442">
        <v>794106.4</v>
      </c>
      <c r="F78" s="444">
        <v>11660</v>
      </c>
      <c r="H78" s="64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5"/>
      <c r="AG78" s="75"/>
    </row>
    <row r="79" spans="1:70">
      <c r="B79" s="35"/>
      <c r="D79" s="507"/>
      <c r="E79" s="445"/>
      <c r="F79" s="446"/>
      <c r="H79" s="64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5"/>
      <c r="AG79" s="75"/>
    </row>
    <row r="80" spans="1:70">
      <c r="B80" s="33" t="s">
        <v>61</v>
      </c>
      <c r="C80" s="177" t="s">
        <v>781</v>
      </c>
      <c r="D80" s="507"/>
      <c r="E80" s="445"/>
      <c r="F80" s="446"/>
      <c r="H80" s="64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5"/>
      <c r="AG80" s="75"/>
    </row>
    <row r="81" spans="2:33">
      <c r="B81" s="35" t="s">
        <v>63</v>
      </c>
      <c r="C81" s="177"/>
      <c r="D81" s="507">
        <f>$AJ$62-$AK$63</f>
        <v>950000</v>
      </c>
      <c r="E81" s="440">
        <v>950000</v>
      </c>
      <c r="F81" s="441">
        <f>D81-E81</f>
        <v>0</v>
      </c>
      <c r="G81" s="77"/>
      <c r="H81" s="64"/>
    </row>
    <row r="82" spans="2:33">
      <c r="B82" s="36" t="s">
        <v>64</v>
      </c>
      <c r="C82" s="177"/>
      <c r="D82" s="507">
        <f>$AL$62-$AM$63</f>
        <v>112480</v>
      </c>
      <c r="E82" s="440">
        <v>112480</v>
      </c>
      <c r="F82" s="441">
        <f>D82-E82</f>
        <v>0</v>
      </c>
      <c r="G82" s="77"/>
    </row>
    <row r="83" spans="2:33">
      <c r="B83" s="36" t="s">
        <v>339</v>
      </c>
      <c r="C83" s="177"/>
      <c r="D83" s="507">
        <f>$AN$62-$AO$63</f>
        <v>20000</v>
      </c>
      <c r="E83" s="440">
        <v>20000</v>
      </c>
      <c r="F83" s="441">
        <f>D83-E83</f>
        <v>0</v>
      </c>
      <c r="G83" s="77"/>
    </row>
    <row r="84" spans="2:33">
      <c r="B84" s="38" t="s">
        <v>66</v>
      </c>
      <c r="D84" s="508">
        <f>SUM(D81:D83)</f>
        <v>1082480</v>
      </c>
      <c r="E84" s="442">
        <v>1082480</v>
      </c>
      <c r="F84" s="444">
        <f>D84-E84</f>
        <v>0</v>
      </c>
    </row>
    <row r="85" spans="2:33">
      <c r="B85" s="35"/>
      <c r="D85" s="507"/>
      <c r="E85" s="445"/>
      <c r="F85" s="446"/>
    </row>
    <row r="86" spans="2:33">
      <c r="B86" s="35"/>
      <c r="D86" s="507"/>
      <c r="E86" s="445"/>
      <c r="F86" s="446"/>
    </row>
    <row r="87" spans="2:33" ht="13.5" thickBot="1">
      <c r="B87" s="38" t="s">
        <v>67</v>
      </c>
      <c r="D87" s="509">
        <f>D78+D84</f>
        <v>1888246.8900000001</v>
      </c>
      <c r="E87" s="447">
        <v>1876586.4</v>
      </c>
      <c r="F87" s="448">
        <f>D87-E87</f>
        <v>11660.490000000224</v>
      </c>
      <c r="AF87" s="75"/>
      <c r="AG87" s="75"/>
    </row>
    <row r="88" spans="2:33" ht="13.5" thickTop="1">
      <c r="B88" s="35"/>
      <c r="D88" s="507"/>
      <c r="E88" s="445"/>
      <c r="F88" s="446"/>
      <c r="AF88" s="75"/>
      <c r="AG88" s="75"/>
    </row>
    <row r="89" spans="2:33">
      <c r="B89" s="35"/>
      <c r="D89" s="507"/>
      <c r="E89" s="445"/>
      <c r="F89" s="446"/>
      <c r="AF89" s="75"/>
      <c r="AG89" s="75"/>
    </row>
    <row r="90" spans="2:33">
      <c r="B90" s="33" t="s">
        <v>68</v>
      </c>
      <c r="D90" s="507"/>
      <c r="E90" s="445"/>
      <c r="F90" s="446"/>
      <c r="AF90" s="75"/>
      <c r="AG90" s="75"/>
    </row>
    <row r="91" spans="2:33">
      <c r="B91" s="35" t="s">
        <v>69</v>
      </c>
      <c r="C91" s="177" t="s">
        <v>792</v>
      </c>
      <c r="D91" s="507">
        <f>-$AV$62+$AW$63</f>
        <v>0</v>
      </c>
      <c r="E91" s="440">
        <v>0</v>
      </c>
      <c r="F91" s="441">
        <f>D91-E91</f>
        <v>0</v>
      </c>
      <c r="G91" s="77"/>
      <c r="AF91" s="75"/>
      <c r="AG91" s="75"/>
    </row>
    <row r="92" spans="2:33">
      <c r="B92" s="33" t="s">
        <v>70</v>
      </c>
      <c r="D92" s="508">
        <f>SUM(D91:D91)</f>
        <v>0</v>
      </c>
      <c r="E92" s="442">
        <v>0</v>
      </c>
      <c r="F92" s="444">
        <f>D92-E92</f>
        <v>0</v>
      </c>
      <c r="H92" s="34"/>
    </row>
    <row r="93" spans="2:33">
      <c r="B93" s="35"/>
      <c r="D93" s="507"/>
      <c r="E93" s="445"/>
      <c r="F93" s="446"/>
      <c r="G93" s="152"/>
    </row>
    <row r="94" spans="2:33">
      <c r="B94" s="33" t="s">
        <v>71</v>
      </c>
      <c r="C94" s="177" t="s">
        <v>793</v>
      </c>
      <c r="D94" s="507"/>
      <c r="E94" s="445"/>
      <c r="F94" s="446"/>
    </row>
    <row r="95" spans="2:33">
      <c r="B95" s="35" t="s">
        <v>72</v>
      </c>
      <c r="C95" s="177"/>
      <c r="D95" s="507">
        <f>-$AP$62+$AQ$63</f>
        <v>1082480</v>
      </c>
      <c r="E95" s="440">
        <v>1082480</v>
      </c>
      <c r="F95" s="441">
        <f>D95-E95</f>
        <v>0</v>
      </c>
      <c r="G95" s="77"/>
      <c r="H95" s="77"/>
    </row>
    <row r="96" spans="2:33">
      <c r="B96" s="276" t="s">
        <v>687</v>
      </c>
      <c r="C96" s="177"/>
      <c r="D96" s="507">
        <v>724826.77</v>
      </c>
      <c r="E96" s="440">
        <v>724291.77396217501</v>
      </c>
      <c r="F96" s="441">
        <v>535</v>
      </c>
      <c r="G96" s="77"/>
    </row>
    <row r="97" spans="2:31">
      <c r="B97" s="276" t="s">
        <v>692</v>
      </c>
      <c r="C97" s="177"/>
      <c r="D97" s="507">
        <v>80950.63</v>
      </c>
      <c r="E97" s="440">
        <v>69814.626037825088</v>
      </c>
      <c r="F97" s="441">
        <v>11137</v>
      </c>
      <c r="G97" s="77"/>
    </row>
    <row r="98" spans="2:31">
      <c r="B98" s="38" t="s">
        <v>75</v>
      </c>
      <c r="D98" s="508">
        <v>1888258</v>
      </c>
      <c r="E98" s="442">
        <v>1876586.4000000001</v>
      </c>
      <c r="F98" s="444">
        <f>D98-E98</f>
        <v>11671.59999999986</v>
      </c>
    </row>
    <row r="99" spans="2:31">
      <c r="B99" s="35"/>
      <c r="D99" s="507"/>
      <c r="E99" s="445"/>
      <c r="F99" s="446"/>
    </row>
    <row r="100" spans="2:31">
      <c r="B100" s="35"/>
      <c r="D100" s="507"/>
      <c r="E100" s="445"/>
      <c r="F100" s="446"/>
    </row>
    <row r="101" spans="2:31" ht="13.5" thickBot="1">
      <c r="B101" s="33" t="s">
        <v>77</v>
      </c>
      <c r="D101" s="509">
        <f>D92+D98</f>
        <v>1888258</v>
      </c>
      <c r="E101" s="447">
        <v>1876586.4000000001</v>
      </c>
      <c r="F101" s="448">
        <f>D101-E101</f>
        <v>11671.59999999986</v>
      </c>
    </row>
    <row r="102" spans="2:31" ht="13.5" thickTop="1">
      <c r="B102" s="35"/>
      <c r="D102" s="77"/>
      <c r="E102" s="505"/>
    </row>
    <row r="103" spans="2:31">
      <c r="D103" s="77"/>
      <c r="E103" s="505"/>
    </row>
    <row r="104" spans="2:31" ht="24.75">
      <c r="B104" s="552" t="s">
        <v>1137</v>
      </c>
      <c r="C104" s="552"/>
      <c r="D104" s="552"/>
      <c r="E104" s="552"/>
      <c r="F104" s="552"/>
      <c r="G104" s="552"/>
      <c r="H104" s="552"/>
      <c r="I104" s="552"/>
    </row>
    <row r="105" spans="2:31" ht="15" thickBot="1">
      <c r="D105" s="77"/>
      <c r="E105" s="77"/>
      <c r="F105" s="35"/>
      <c r="G105" s="73"/>
      <c r="K105" s="550" t="s">
        <v>1094</v>
      </c>
      <c r="L105" s="550"/>
      <c r="M105" s="550"/>
      <c r="N105" s="550"/>
    </row>
    <row r="106" spans="2:31" ht="20.25" thickBot="1">
      <c r="B106" s="148" t="s">
        <v>313</v>
      </c>
      <c r="C106" s="148"/>
      <c r="D106" s="481">
        <v>2018</v>
      </c>
      <c r="E106" s="516">
        <v>2017</v>
      </c>
      <c r="F106" s="533" t="s">
        <v>1081</v>
      </c>
      <c r="G106" s="340" t="s">
        <v>315</v>
      </c>
      <c r="H106" s="534" t="s">
        <v>1138</v>
      </c>
      <c r="K106" s="418" t="s">
        <v>1049</v>
      </c>
      <c r="L106" s="480" t="s">
        <v>1048</v>
      </c>
      <c r="M106" s="418" t="s">
        <v>245</v>
      </c>
      <c r="N106" s="418" t="s">
        <v>1050</v>
      </c>
    </row>
    <row r="107" spans="2:31">
      <c r="B107" s="34" t="s">
        <v>153</v>
      </c>
      <c r="C107" s="177"/>
      <c r="D107" s="515" t="s">
        <v>1135</v>
      </c>
      <c r="E107" s="505"/>
      <c r="F107" s="517"/>
      <c r="H107" s="325"/>
      <c r="K107" s="437">
        <v>2014</v>
      </c>
      <c r="L107" s="434">
        <v>200</v>
      </c>
      <c r="M107" s="434" t="e">
        <f>#REF!/L107</f>
        <v>#REF!</v>
      </c>
      <c r="N107" s="434">
        <f>D108/L107</f>
        <v>180.89060000000001</v>
      </c>
    </row>
    <row r="108" spans="2:31">
      <c r="B108" t="s">
        <v>243</v>
      </c>
      <c r="C108" s="177" t="s">
        <v>378</v>
      </c>
      <c r="D108" s="511">
        <v>36178.120000000003</v>
      </c>
      <c r="E108" s="155">
        <v>38962.620000000003</v>
      </c>
      <c r="F108" s="518">
        <v>47250</v>
      </c>
      <c r="G108" s="151">
        <f>IF(E108=0,"---",F108/E108)</f>
        <v>1.2127007886019985</v>
      </c>
      <c r="H108" s="326">
        <v>42000</v>
      </c>
      <c r="K108" s="437">
        <v>2013</v>
      </c>
      <c r="L108" s="434">
        <v>200</v>
      </c>
      <c r="M108" s="434">
        <v>110</v>
      </c>
      <c r="N108" s="434">
        <f>E108/L108</f>
        <v>194.81310000000002</v>
      </c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</row>
    <row r="109" spans="2:31">
      <c r="B109" t="s">
        <v>618</v>
      </c>
      <c r="C109" s="177"/>
      <c r="D109" s="511">
        <f>-$AF$62+$AG$63</f>
        <v>3103.85</v>
      </c>
      <c r="E109" s="155">
        <v>3748.1299999999997</v>
      </c>
      <c r="F109" s="518">
        <v>4000</v>
      </c>
      <c r="G109" s="151">
        <f>IF(E109=0,"---",F109/E109)</f>
        <v>1.0671988431564541</v>
      </c>
      <c r="H109" s="326">
        <v>3100</v>
      </c>
      <c r="J109" s="155"/>
      <c r="K109" s="437">
        <v>2015</v>
      </c>
      <c r="L109" s="434">
        <v>300</v>
      </c>
      <c r="M109" s="434">
        <v>120</v>
      </c>
      <c r="N109" s="434">
        <v>120</v>
      </c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</row>
    <row r="110" spans="2:31">
      <c r="B110" s="79" t="s">
        <v>355</v>
      </c>
      <c r="C110" s="177" t="s">
        <v>379</v>
      </c>
      <c r="D110" s="511">
        <f>-$AH$62+$AI$63</f>
        <v>17142</v>
      </c>
      <c r="E110" s="155">
        <v>0</v>
      </c>
      <c r="F110" s="518">
        <v>20000</v>
      </c>
      <c r="G110" s="151" t="str">
        <f>IF(E110=0,"---",F110/E110)</f>
        <v>---</v>
      </c>
      <c r="H110" s="326">
        <v>0</v>
      </c>
      <c r="J110" s="155"/>
      <c r="K110" s="439">
        <v>2016</v>
      </c>
      <c r="L110" s="438">
        <v>300</v>
      </c>
      <c r="M110" s="438">
        <v>100</v>
      </c>
      <c r="N110" s="438">
        <v>113</v>
      </c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</row>
    <row r="111" spans="2:31" ht="15" customHeight="1" thickBot="1">
      <c r="B111" s="154" t="s">
        <v>158</v>
      </c>
      <c r="C111" s="306"/>
      <c r="D111" s="512">
        <f>SUM(D108:D110)</f>
        <v>56423.97</v>
      </c>
      <c r="E111" s="156">
        <v>42710.75</v>
      </c>
      <c r="F111" s="519">
        <v>71250</v>
      </c>
      <c r="G111" s="153">
        <f>IF(E111=0,"---",F111/E111)</f>
        <v>1.6681982873164249</v>
      </c>
      <c r="H111" s="327">
        <f>SUM(H108:H110)</f>
        <v>45100</v>
      </c>
      <c r="J111" s="160"/>
      <c r="K111" s="439">
        <v>2017</v>
      </c>
      <c r="L111" s="438">
        <v>300</v>
      </c>
      <c r="M111" s="438">
        <v>125</v>
      </c>
      <c r="N111" s="438">
        <v>131</v>
      </c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</row>
    <row r="112" spans="2:31" ht="12.95" customHeight="1" thickTop="1">
      <c r="C112" s="177"/>
      <c r="D112" s="511"/>
      <c r="E112" s="77"/>
      <c r="F112" s="520"/>
      <c r="H112" s="328"/>
      <c r="J112" s="77"/>
      <c r="K112" s="439">
        <v>2018</v>
      </c>
      <c r="L112" s="438">
        <v>350</v>
      </c>
      <c r="M112" s="438">
        <v>130</v>
      </c>
      <c r="N112" s="438">
        <v>131</v>
      </c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</row>
    <row r="113" spans="2:31">
      <c r="B113" s="34" t="s">
        <v>924</v>
      </c>
      <c r="C113" s="177"/>
      <c r="D113" s="511"/>
      <c r="E113" s="77"/>
      <c r="F113" s="520"/>
      <c r="H113" s="328"/>
      <c r="J113" s="77"/>
      <c r="K113" s="439">
        <v>2019</v>
      </c>
      <c r="L113" s="438">
        <v>350</v>
      </c>
      <c r="M113" s="438">
        <v>135</v>
      </c>
      <c r="N113" s="438">
        <v>131</v>
      </c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</row>
    <row r="114" spans="2:31">
      <c r="B114" t="s">
        <v>485</v>
      </c>
      <c r="C114" s="177" t="s">
        <v>380</v>
      </c>
      <c r="D114" s="511">
        <f>$F$62-$G$63</f>
        <v>5000</v>
      </c>
      <c r="E114" s="155">
        <v>5000</v>
      </c>
      <c r="F114" s="518">
        <v>8000</v>
      </c>
      <c r="G114" s="151">
        <f t="shared" ref="G114:G125" si="1">IF(E114=0,"---",F114/E114)</f>
        <v>1.6</v>
      </c>
      <c r="H114" s="326">
        <v>5000</v>
      </c>
      <c r="J114" s="155"/>
      <c r="K114" s="155"/>
      <c r="L114" s="155"/>
      <c r="M114" s="155"/>
      <c r="N114" s="77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</row>
    <row r="115" spans="2:31">
      <c r="B115" t="s">
        <v>488</v>
      </c>
      <c r="C115" s="177" t="s">
        <v>428</v>
      </c>
      <c r="D115" s="511">
        <f>$H$62-$I$63</f>
        <v>13886.029999999999</v>
      </c>
      <c r="E115" s="155">
        <v>6181.95</v>
      </c>
      <c r="F115" s="518">
        <v>2000</v>
      </c>
      <c r="G115" s="151">
        <f t="shared" si="1"/>
        <v>0.32352251312288194</v>
      </c>
      <c r="H115" s="326">
        <v>11000</v>
      </c>
      <c r="J115" s="155"/>
      <c r="K115" s="155"/>
      <c r="L115" s="155"/>
      <c r="M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</row>
    <row r="116" spans="2:31">
      <c r="B116" t="s">
        <v>163</v>
      </c>
      <c r="C116" s="177" t="s">
        <v>430</v>
      </c>
      <c r="D116" s="511">
        <v>5220</v>
      </c>
      <c r="E116" s="155">
        <v>4011.4</v>
      </c>
      <c r="F116" s="518">
        <v>10000</v>
      </c>
      <c r="G116" s="151">
        <f t="shared" si="1"/>
        <v>2.492895248541656</v>
      </c>
      <c r="H116" s="326">
        <v>11000</v>
      </c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</row>
    <row r="117" spans="2:31">
      <c r="B117" s="277" t="s">
        <v>637</v>
      </c>
      <c r="C117" s="177" t="s">
        <v>486</v>
      </c>
      <c r="D117" s="511">
        <f>$Z$62-$AA$63</f>
        <v>5625</v>
      </c>
      <c r="E117" s="155">
        <v>11135</v>
      </c>
      <c r="F117" s="518">
        <v>5000</v>
      </c>
      <c r="G117" s="151">
        <f>IF(E117=0,"---",F117/E117)</f>
        <v>0.44903457566232602</v>
      </c>
      <c r="H117" s="326">
        <v>6000</v>
      </c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</row>
    <row r="118" spans="2:31">
      <c r="B118" s="277" t="s">
        <v>684</v>
      </c>
      <c r="C118" s="177" t="s">
        <v>501</v>
      </c>
      <c r="D118" s="511">
        <f>$X$62-$Y$63</f>
        <v>0</v>
      </c>
      <c r="E118" s="155">
        <v>0</v>
      </c>
      <c r="F118" s="518">
        <v>100000</v>
      </c>
      <c r="G118" s="151" t="str">
        <f>IF(E118=0,"---",F118/E118)</f>
        <v>---</v>
      </c>
      <c r="H118" s="326">
        <v>0</v>
      </c>
      <c r="J118" s="155"/>
      <c r="K118" s="551" t="s">
        <v>1032</v>
      </c>
      <c r="L118" s="551"/>
      <c r="M118" s="551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</row>
    <row r="119" spans="2:31">
      <c r="B119" t="s">
        <v>166</v>
      </c>
      <c r="C119" s="177" t="s">
        <v>502</v>
      </c>
      <c r="D119" s="511">
        <f>$P$62-$Q$63</f>
        <v>10054.75</v>
      </c>
      <c r="E119" s="155">
        <v>7298.52</v>
      </c>
      <c r="F119" s="518">
        <v>14000</v>
      </c>
      <c r="G119" s="151">
        <f t="shared" si="1"/>
        <v>1.9181971139354279</v>
      </c>
      <c r="H119" s="326">
        <v>12000</v>
      </c>
      <c r="J119" s="155"/>
      <c r="K119" s="434" t="s">
        <v>1046</v>
      </c>
      <c r="L119" s="155">
        <f>M112*8</f>
        <v>1040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</row>
    <row r="120" spans="2:31">
      <c r="B120" t="s">
        <v>170</v>
      </c>
      <c r="C120" s="177"/>
      <c r="D120" s="511">
        <f>$T$62-$U$63</f>
        <v>751</v>
      </c>
      <c r="E120" s="155">
        <v>751</v>
      </c>
      <c r="F120" s="518">
        <v>750</v>
      </c>
      <c r="G120" s="151">
        <f t="shared" si="1"/>
        <v>0.99866844207723038</v>
      </c>
      <c r="H120" s="326">
        <v>750</v>
      </c>
      <c r="J120" s="155"/>
      <c r="K120" s="435" t="s">
        <v>1047</v>
      </c>
      <c r="L120" s="282">
        <v>500</v>
      </c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</row>
    <row r="121" spans="2:31" ht="13.5" thickBot="1">
      <c r="B121" s="277" t="s">
        <v>694</v>
      </c>
      <c r="C121" s="177"/>
      <c r="D121" s="511">
        <f>$L$62-$M$63</f>
        <v>1715</v>
      </c>
      <c r="E121" s="155">
        <v>1380</v>
      </c>
      <c r="F121" s="518">
        <v>1500</v>
      </c>
      <c r="G121" s="151">
        <f>IF(E121=0,"---",F121/E121)</f>
        <v>1.0869565217391304</v>
      </c>
      <c r="H121" s="326">
        <v>1715</v>
      </c>
      <c r="J121" s="155"/>
      <c r="K121" s="436" t="s">
        <v>699</v>
      </c>
      <c r="L121" s="156">
        <f>L119+L120</f>
        <v>1540</v>
      </c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</row>
    <row r="122" spans="2:31" ht="13.5" thickTop="1">
      <c r="B122" t="s">
        <v>95</v>
      </c>
      <c r="C122" s="177"/>
      <c r="D122" s="511">
        <f>$N$62-$O$63</f>
        <v>0</v>
      </c>
      <c r="E122" s="155">
        <v>0</v>
      </c>
      <c r="F122" s="518">
        <v>0</v>
      </c>
      <c r="G122" s="151" t="str">
        <f>IF(E122=0,"---",F122/E122)</f>
        <v>---</v>
      </c>
      <c r="H122" s="326">
        <v>0</v>
      </c>
      <c r="J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</row>
    <row r="123" spans="2:31">
      <c r="B123" t="s">
        <v>169</v>
      </c>
      <c r="C123" s="177"/>
      <c r="D123" s="511">
        <f>$R$62-$S$63</f>
        <v>2500</v>
      </c>
      <c r="E123" s="155">
        <v>2500</v>
      </c>
      <c r="F123" s="518">
        <v>2500</v>
      </c>
      <c r="G123" s="151">
        <f t="shared" si="1"/>
        <v>1</v>
      </c>
      <c r="H123" s="326">
        <v>2500</v>
      </c>
      <c r="J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</row>
    <row r="124" spans="2:31">
      <c r="B124" t="s">
        <v>427</v>
      </c>
      <c r="C124" s="177" t="s">
        <v>506</v>
      </c>
      <c r="D124" s="511">
        <f>$V$62-$W$63</f>
        <v>0</v>
      </c>
      <c r="E124" s="155">
        <v>0</v>
      </c>
      <c r="F124" s="518">
        <v>0</v>
      </c>
      <c r="G124" s="151" t="str">
        <f t="shared" si="1"/>
        <v>---</v>
      </c>
      <c r="H124" s="326">
        <v>2500</v>
      </c>
      <c r="J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</row>
    <row r="125" spans="2:31" ht="16.5" thickBot="1">
      <c r="B125" s="154" t="s">
        <v>931</v>
      </c>
      <c r="C125" s="306"/>
      <c r="D125" s="523">
        <v>44752</v>
      </c>
      <c r="E125" s="156">
        <v>38257.869999999995</v>
      </c>
      <c r="F125" s="519">
        <v>143750</v>
      </c>
      <c r="G125" s="153">
        <f t="shared" si="1"/>
        <v>3.7573968441003123</v>
      </c>
      <c r="H125" s="327">
        <f>SUM(H112:H124)</f>
        <v>52465</v>
      </c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pans="2:31" ht="13.5" thickTop="1">
      <c r="C126" s="177"/>
      <c r="D126" s="513"/>
      <c r="E126" s="77"/>
      <c r="F126" s="520"/>
      <c r="G126" s="77"/>
      <c r="H126" s="328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</row>
    <row r="127" spans="2:31" ht="16.5" thickBot="1">
      <c r="B127" s="154" t="s">
        <v>141</v>
      </c>
      <c r="C127" s="306"/>
      <c r="D127" s="514">
        <f>D111-D125</f>
        <v>11671.970000000001</v>
      </c>
      <c r="E127" s="156">
        <v>4452.8800000000047</v>
      </c>
      <c r="F127" s="327">
        <v>-72500</v>
      </c>
      <c r="G127" s="153">
        <f>IF(E127=0,"---",F127/E127)</f>
        <v>-16.281597527892043</v>
      </c>
      <c r="H127" s="327">
        <v>-7365</v>
      </c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pans="2:31" ht="13.5" thickTop="1">
      <c r="C128" s="177"/>
      <c r="D128" s="77"/>
      <c r="E128" s="93"/>
      <c r="F128" s="77"/>
      <c r="G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</row>
    <row r="129" spans="2:31">
      <c r="B129" s="34" t="s">
        <v>172</v>
      </c>
      <c r="C129" s="177" t="s">
        <v>644</v>
      </c>
      <c r="D129" s="77"/>
      <c r="E129" s="93"/>
      <c r="F129" s="77"/>
      <c r="G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</row>
    <row r="130" spans="2:31">
      <c r="B130" t="s">
        <v>691</v>
      </c>
      <c r="C130" s="177"/>
      <c r="D130" s="155">
        <f>J171</f>
        <v>535</v>
      </c>
      <c r="E130" s="324">
        <v>724</v>
      </c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</row>
    <row r="131" spans="2:31">
      <c r="B131" t="s">
        <v>693</v>
      </c>
      <c r="C131" s="177"/>
      <c r="D131" s="155">
        <f>D127-D130</f>
        <v>11136.970000000001</v>
      </c>
      <c r="E131" s="324">
        <v>3729</v>
      </c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</row>
    <row r="132" spans="2:31" ht="16.5" thickBot="1">
      <c r="B132" s="154" t="s">
        <v>175</v>
      </c>
      <c r="C132" s="306"/>
      <c r="D132" s="156">
        <f>SUM(D130:D131)</f>
        <v>11671.970000000001</v>
      </c>
      <c r="E132" s="156">
        <v>4453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</row>
    <row r="133" spans="2:31" ht="13.5" thickTop="1"/>
    <row r="134" spans="2:31" ht="13.5" thickBot="1">
      <c r="F134" s="113"/>
    </row>
    <row r="135" spans="2:31" ht="15">
      <c r="B135" s="449" t="s">
        <v>821</v>
      </c>
      <c r="C135" s="298"/>
      <c r="D135" s="299">
        <f>ROUND(D87-D101,0)</f>
        <v>-11</v>
      </c>
      <c r="E135" s="304" t="str">
        <f>IF(D135=0,"OK","Feil")</f>
        <v>Feil</v>
      </c>
      <c r="F135" s="113"/>
    </row>
    <row r="136" spans="2:31" ht="15.75" thickBot="1">
      <c r="B136" s="450" t="s">
        <v>822</v>
      </c>
      <c r="C136" s="28"/>
      <c r="D136" s="301">
        <f>ROUND(D98-E98-D132,0)</f>
        <v>0</v>
      </c>
      <c r="E136" s="305" t="str">
        <f>IF(D136=0,"OK","Feil")</f>
        <v>OK</v>
      </c>
      <c r="F136" s="113"/>
    </row>
    <row r="137" spans="2:31">
      <c r="F137" s="77"/>
    </row>
    <row r="138" spans="2:31">
      <c r="F138" s="77"/>
    </row>
    <row r="139" spans="2:31">
      <c r="F139" s="77"/>
    </row>
    <row r="140" spans="2:31" ht="24.75">
      <c r="B140" s="552" t="s">
        <v>1139</v>
      </c>
      <c r="C140" s="552"/>
      <c r="D140" s="552"/>
      <c r="E140" s="552"/>
      <c r="F140" s="552"/>
      <c r="G140" s="552"/>
      <c r="H140" s="552"/>
      <c r="I140" s="552"/>
      <c r="J140" s="552"/>
    </row>
    <row r="141" spans="2:31">
      <c r="B141" s="34"/>
      <c r="D141" s="77"/>
      <c r="F141" s="77"/>
    </row>
    <row r="142" spans="2:31" ht="14.25">
      <c r="B142" s="425" t="s">
        <v>1147</v>
      </c>
      <c r="C142" s="277" t="s">
        <v>799</v>
      </c>
      <c r="D142" s="77"/>
      <c r="F142" s="425" t="s">
        <v>809</v>
      </c>
      <c r="H142" s="77"/>
      <c r="I142" s="77"/>
    </row>
    <row r="143" spans="2:31">
      <c r="B143" s="413" t="s">
        <v>1140</v>
      </c>
      <c r="C143" s="37">
        <v>135</v>
      </c>
      <c r="D143" s="97">
        <v>47250</v>
      </c>
      <c r="F143" s="553" t="s">
        <v>1028</v>
      </c>
      <c r="G143" s="553"/>
      <c r="J143" s="77">
        <v>1341.75</v>
      </c>
    </row>
    <row r="144" spans="2:31">
      <c r="B144" s="413" t="s">
        <v>1141</v>
      </c>
      <c r="C144" s="37">
        <v>105</v>
      </c>
      <c r="D144" s="97">
        <v>36178</v>
      </c>
      <c r="F144" s="554" t="s">
        <v>1087</v>
      </c>
      <c r="G144" s="554"/>
      <c r="J144" s="77">
        <v>4556</v>
      </c>
    </row>
    <row r="145" spans="2:10">
      <c r="B145" s="401" t="s">
        <v>197</v>
      </c>
      <c r="C145" s="31">
        <f>SUM(C144:C144)</f>
        <v>105</v>
      </c>
      <c r="D145" s="402">
        <f>SUM(D144:D144)</f>
        <v>36178</v>
      </c>
      <c r="F145" s="554" t="s">
        <v>1086</v>
      </c>
      <c r="G145" s="554"/>
      <c r="J145" s="77">
        <v>0</v>
      </c>
    </row>
    <row r="146" spans="2:10">
      <c r="B146" s="277"/>
      <c r="D146" s="93"/>
      <c r="F146" s="554" t="s">
        <v>879</v>
      </c>
      <c r="G146" s="554"/>
      <c r="J146" s="77">
        <v>3406</v>
      </c>
    </row>
    <row r="147" spans="2:10">
      <c r="B147" s="344" t="s">
        <v>1142</v>
      </c>
      <c r="C147" s="345"/>
      <c r="D147" s="346"/>
      <c r="F147" s="555" t="s">
        <v>970</v>
      </c>
      <c r="G147" s="555"/>
      <c r="J147" s="77">
        <v>0</v>
      </c>
    </row>
    <row r="148" spans="2:10" ht="13.5" thickBot="1">
      <c r="B148" s="397">
        <v>350</v>
      </c>
      <c r="C148" s="398">
        <v>120</v>
      </c>
      <c r="D148" s="399">
        <f>SUM(B148*C148)</f>
        <v>42000</v>
      </c>
      <c r="F148" s="381" t="s">
        <v>197</v>
      </c>
      <c r="G148" s="200"/>
      <c r="H148" s="200"/>
      <c r="I148" s="200"/>
      <c r="J148" s="175">
        <f>SUM(J143:J147)</f>
        <v>9303.75</v>
      </c>
    </row>
    <row r="149" spans="2:10" ht="14.25" thickTop="1" thickBot="1">
      <c r="B149" s="423" t="s">
        <v>197</v>
      </c>
      <c r="C149" s="423"/>
      <c r="D149" s="424">
        <f>SUM(D148:D148)</f>
        <v>42000</v>
      </c>
      <c r="J149" s="77"/>
    </row>
    <row r="150" spans="2:10" ht="13.5" thickTop="1">
      <c r="D150" s="77"/>
      <c r="F150" s="556" t="s">
        <v>1142</v>
      </c>
      <c r="G150" s="556"/>
      <c r="H150" s="347"/>
      <c r="I150" s="347"/>
      <c r="J150" s="346"/>
    </row>
    <row r="151" spans="2:10" ht="14.25">
      <c r="B151" s="425" t="s">
        <v>796</v>
      </c>
      <c r="D151" s="77"/>
      <c r="F151" s="485" t="s">
        <v>1087</v>
      </c>
      <c r="G151" s="484"/>
      <c r="H151" s="347"/>
      <c r="I151" s="347"/>
      <c r="J151" s="346">
        <v>5000</v>
      </c>
    </row>
    <row r="152" spans="2:10">
      <c r="B152" s="413" t="s">
        <v>782</v>
      </c>
      <c r="D152" s="77">
        <v>17142</v>
      </c>
      <c r="F152" s="485" t="s">
        <v>1028</v>
      </c>
      <c r="G152" s="484"/>
      <c r="H152" s="347"/>
      <c r="I152" s="347"/>
      <c r="J152" s="346">
        <v>1500</v>
      </c>
    </row>
    <row r="153" spans="2:10">
      <c r="B153" s="482" t="s">
        <v>1012</v>
      </c>
      <c r="D153" s="77">
        <v>0</v>
      </c>
      <c r="F153" s="557" t="s">
        <v>879</v>
      </c>
      <c r="G153" s="558"/>
      <c r="H153" s="347"/>
      <c r="I153" s="347"/>
      <c r="J153" s="346">
        <v>4000</v>
      </c>
    </row>
    <row r="154" spans="2:10" ht="13.5" thickBot="1">
      <c r="B154" s="199" t="s">
        <v>197</v>
      </c>
      <c r="C154" s="199"/>
      <c r="D154" s="175">
        <f>SUM(D152:D153)</f>
        <v>17142</v>
      </c>
      <c r="F154" s="557" t="s">
        <v>810</v>
      </c>
      <c r="G154" s="558"/>
      <c r="H154" s="347"/>
      <c r="I154" s="347"/>
      <c r="J154" s="346">
        <v>1500</v>
      </c>
    </row>
    <row r="155" spans="2:10" ht="14.25" thickTop="1" thickBot="1">
      <c r="D155" s="77"/>
      <c r="F155" s="549" t="s">
        <v>197</v>
      </c>
      <c r="G155" s="549"/>
      <c r="H155" s="423"/>
      <c r="I155" s="423"/>
      <c r="J155" s="424">
        <f>SUM(J151:J154)</f>
        <v>12000</v>
      </c>
    </row>
    <row r="156" spans="2:10" ht="13.5" thickTop="1">
      <c r="B156" s="344" t="s">
        <v>1142</v>
      </c>
      <c r="C156" s="345"/>
      <c r="D156" s="346"/>
      <c r="H156" s="77"/>
    </row>
    <row r="157" spans="2:10" ht="14.1" customHeight="1">
      <c r="B157" s="397" t="s">
        <v>1022</v>
      </c>
      <c r="C157" s="398"/>
      <c r="D157" s="399">
        <v>0</v>
      </c>
      <c r="H157" s="77"/>
    </row>
    <row r="158" spans="2:10" ht="14.25">
      <c r="B158" s="397" t="s">
        <v>1021</v>
      </c>
      <c r="C158" s="398"/>
      <c r="D158" s="399">
        <v>0</v>
      </c>
      <c r="F158" s="425" t="s">
        <v>811</v>
      </c>
    </row>
    <row r="159" spans="2:10" ht="13.5" thickBot="1">
      <c r="B159" s="426" t="s">
        <v>197</v>
      </c>
      <c r="C159" s="423"/>
      <c r="D159" s="424">
        <f>SUM(D157:D158)</f>
        <v>0</v>
      </c>
      <c r="F159" s="544" t="s">
        <v>1146</v>
      </c>
      <c r="G159" s="544"/>
      <c r="H159" s="544"/>
      <c r="I159" s="544"/>
    </row>
    <row r="160" spans="2:10" ht="13.5" thickTop="1">
      <c r="B160" s="277"/>
      <c r="C160" s="34"/>
      <c r="D160" s="294"/>
      <c r="F160" s="544"/>
      <c r="G160" s="544"/>
      <c r="H160" s="544"/>
      <c r="I160" s="544"/>
    </row>
    <row r="161" spans="2:10" ht="15" thickBot="1">
      <c r="B161" s="425" t="s">
        <v>797</v>
      </c>
      <c r="D161" s="77"/>
      <c r="F161" s="545" t="s">
        <v>197</v>
      </c>
      <c r="G161" s="545"/>
      <c r="H161" s="270"/>
      <c r="I161" s="270"/>
      <c r="J161" s="427">
        <v>2500</v>
      </c>
    </row>
    <row r="162" spans="2:10" ht="13.5" thickTop="1">
      <c r="B162" s="277" t="s">
        <v>674</v>
      </c>
      <c r="D162" s="288">
        <v>5000</v>
      </c>
    </row>
    <row r="163" spans="2:10">
      <c r="B163" s="277" t="s">
        <v>1098</v>
      </c>
      <c r="D163" s="288">
        <v>0</v>
      </c>
    </row>
    <row r="164" spans="2:10" ht="15" thickBot="1">
      <c r="B164" s="199" t="s">
        <v>197</v>
      </c>
      <c r="C164" s="266"/>
      <c r="D164" s="175">
        <f>SUM(D162:D163)</f>
        <v>5000</v>
      </c>
      <c r="F164" s="425" t="s">
        <v>812</v>
      </c>
    </row>
    <row r="165" spans="2:10" ht="13.5" thickTop="1">
      <c r="D165" s="77"/>
      <c r="F165" s="277" t="s">
        <v>830</v>
      </c>
      <c r="J165" s="311">
        <f>D127</f>
        <v>11671.970000000001</v>
      </c>
    </row>
    <row r="166" spans="2:10">
      <c r="B166" s="344" t="s">
        <v>1142</v>
      </c>
      <c r="C166" s="347"/>
      <c r="D166" s="346"/>
      <c r="F166" s="279"/>
    </row>
    <row r="167" spans="2:10">
      <c r="B167" s="348" t="s">
        <v>674</v>
      </c>
      <c r="C167" s="347"/>
      <c r="D167" s="346">
        <v>5000</v>
      </c>
      <c r="F167" t="s">
        <v>893</v>
      </c>
      <c r="J167" s="309">
        <v>735879.88</v>
      </c>
    </row>
    <row r="168" spans="2:10">
      <c r="B168" s="415" t="s">
        <v>1013</v>
      </c>
      <c r="C168" s="350"/>
      <c r="D168" s="351">
        <v>0</v>
      </c>
      <c r="F168" t="s">
        <v>704</v>
      </c>
      <c r="I168" s="316">
        <f>IFERROR(J168/J167,0)</f>
        <v>0.86999932652051848</v>
      </c>
      <c r="J168" s="311">
        <v>640215</v>
      </c>
    </row>
    <row r="169" spans="2:10" ht="13.5" thickBot="1">
      <c r="B169" s="426" t="s">
        <v>197</v>
      </c>
      <c r="C169" s="423"/>
      <c r="D169" s="424">
        <f>SUM(D167:D168)</f>
        <v>5000</v>
      </c>
      <c r="F169" s="413" t="s">
        <v>841</v>
      </c>
      <c r="I169" s="37"/>
      <c r="J169" s="420">
        <v>3071.77</v>
      </c>
    </row>
    <row r="170" spans="2:10" ht="13.5" thickTop="1">
      <c r="B170" s="277"/>
      <c r="C170" s="34"/>
      <c r="D170" s="294"/>
      <c r="F170" s="421" t="s">
        <v>829</v>
      </c>
      <c r="G170" s="31"/>
      <c r="H170" s="31"/>
      <c r="I170" s="31"/>
      <c r="J170" s="422">
        <v>2673</v>
      </c>
    </row>
    <row r="171" spans="2:10" ht="15" thickBot="1">
      <c r="B171" s="425" t="s">
        <v>800</v>
      </c>
      <c r="C171" s="82"/>
      <c r="D171" s="201"/>
      <c r="F171" s="199" t="s">
        <v>1044</v>
      </c>
      <c r="G171" s="266"/>
      <c r="H171" s="266"/>
      <c r="I171" s="199"/>
      <c r="J171" s="313">
        <v>535</v>
      </c>
    </row>
    <row r="172" spans="2:10" ht="13.5" thickTop="1">
      <c r="B172" s="482" t="s">
        <v>628</v>
      </c>
      <c r="C172" s="82"/>
      <c r="D172" s="471">
        <v>4000</v>
      </c>
      <c r="F172" s="33"/>
      <c r="I172" s="33"/>
      <c r="J172" s="65"/>
    </row>
    <row r="173" spans="2:10">
      <c r="B173" s="277" t="s">
        <v>1090</v>
      </c>
      <c r="C173" s="82"/>
      <c r="D173" s="471">
        <v>0</v>
      </c>
      <c r="E173" s="65"/>
      <c r="F173" s="68" t="s">
        <v>832</v>
      </c>
      <c r="G173" s="31"/>
      <c r="H173" s="31"/>
      <c r="I173" s="68"/>
      <c r="J173" s="419">
        <v>11137</v>
      </c>
    </row>
    <row r="174" spans="2:10">
      <c r="B174" s="277" t="s">
        <v>651</v>
      </c>
      <c r="C174" s="82"/>
      <c r="D174" s="471">
        <v>632.6</v>
      </c>
      <c r="E174" s="64"/>
    </row>
    <row r="175" spans="2:10">
      <c r="B175" s="482" t="s">
        <v>1014</v>
      </c>
      <c r="C175" s="82"/>
      <c r="D175" s="64">
        <v>911.38</v>
      </c>
      <c r="E175" s="64"/>
    </row>
    <row r="176" spans="2:10" ht="14.25">
      <c r="B176" s="482" t="s">
        <v>1015</v>
      </c>
      <c r="C176" s="82"/>
      <c r="D176" s="471">
        <v>8159.43</v>
      </c>
      <c r="E176" s="64"/>
      <c r="F176" s="425" t="s">
        <v>813</v>
      </c>
      <c r="H176" s="77"/>
      <c r="I176" s="81"/>
    </row>
    <row r="177" spans="2:10" ht="13.5" thickBot="1">
      <c r="B177" s="199" t="s">
        <v>197</v>
      </c>
      <c r="C177" s="200"/>
      <c r="D177" s="175">
        <v>12792.03</v>
      </c>
      <c r="E177" s="64"/>
      <c r="F177" s="277"/>
      <c r="J177" s="77"/>
    </row>
    <row r="178" spans="2:10" ht="13.5" thickTop="1">
      <c r="B178" s="34"/>
      <c r="C178" s="34"/>
      <c r="D178" s="77"/>
      <c r="E178" s="64"/>
      <c r="F178" s="277" t="s">
        <v>1088</v>
      </c>
      <c r="J178" s="77">
        <v>0</v>
      </c>
    </row>
    <row r="179" spans="2:10" ht="13.5" thickBot="1">
      <c r="B179" s="344" t="s">
        <v>1142</v>
      </c>
      <c r="C179" s="352"/>
      <c r="D179" s="346"/>
      <c r="E179" s="64"/>
      <c r="F179" s="199" t="s">
        <v>197</v>
      </c>
      <c r="G179" s="200"/>
      <c r="H179" s="266"/>
      <c r="I179" s="266"/>
      <c r="J179" s="175">
        <v>0</v>
      </c>
    </row>
    <row r="180" spans="2:10" ht="13.5" thickTop="1">
      <c r="B180" s="396" t="s">
        <v>628</v>
      </c>
      <c r="C180" s="352"/>
      <c r="D180" s="346">
        <v>4000</v>
      </c>
      <c r="E180" s="64"/>
    </row>
    <row r="181" spans="2:10" ht="14.25">
      <c r="B181" s="349" t="s">
        <v>1145</v>
      </c>
      <c r="C181" s="354"/>
      <c r="D181" s="351">
        <v>7000</v>
      </c>
      <c r="E181" s="64"/>
      <c r="F181" s="425" t="s">
        <v>816</v>
      </c>
    </row>
    <row r="182" spans="2:10" ht="13.5" thickBot="1">
      <c r="B182" s="426" t="s">
        <v>197</v>
      </c>
      <c r="C182" s="423"/>
      <c r="D182" s="424">
        <f>SUM(D180:D181)</f>
        <v>11000</v>
      </c>
      <c r="F182" s="79" t="s">
        <v>574</v>
      </c>
      <c r="J182" s="77">
        <v>950000</v>
      </c>
    </row>
    <row r="183" spans="2:10" ht="13.5" thickTop="1">
      <c r="B183" s="34"/>
      <c r="C183" s="34"/>
      <c r="D183" s="294"/>
      <c r="F183" s="79" t="s">
        <v>575</v>
      </c>
    </row>
    <row r="184" spans="2:10" ht="14.25">
      <c r="B184" s="425" t="s">
        <v>803</v>
      </c>
      <c r="D184" s="77"/>
      <c r="F184" s="79" t="s">
        <v>576</v>
      </c>
    </row>
    <row r="185" spans="2:10">
      <c r="B185" s="482" t="s">
        <v>1018</v>
      </c>
      <c r="D185" s="77">
        <v>5220.8</v>
      </c>
      <c r="F185" s="79" t="s">
        <v>577</v>
      </c>
    </row>
    <row r="186" spans="2:10">
      <c r="B186" s="483" t="s">
        <v>990</v>
      </c>
      <c r="C186" s="82"/>
      <c r="D186" s="522">
        <v>0</v>
      </c>
    </row>
    <row r="187" spans="2:10" ht="13.5" thickBot="1">
      <c r="B187" s="199" t="s">
        <v>197</v>
      </c>
      <c r="C187" s="200"/>
      <c r="D187" s="175">
        <f>SUM(D185:D186)</f>
        <v>5220.8</v>
      </c>
      <c r="F187" s="79" t="s">
        <v>586</v>
      </c>
      <c r="J187" s="77">
        <v>112480</v>
      </c>
    </row>
    <row r="188" spans="2:10" ht="13.5" thickTop="1">
      <c r="B188" s="482"/>
      <c r="D188" s="77"/>
      <c r="F188" s="79" t="s">
        <v>587</v>
      </c>
      <c r="G188" s="254"/>
      <c r="J188" s="254"/>
    </row>
    <row r="189" spans="2:10">
      <c r="B189" s="344" t="s">
        <v>1142</v>
      </c>
      <c r="C189" s="347"/>
      <c r="D189" s="346"/>
      <c r="F189" s="79" t="s">
        <v>578</v>
      </c>
    </row>
    <row r="190" spans="2:10">
      <c r="B190" s="348" t="s">
        <v>1092</v>
      </c>
      <c r="C190" s="347"/>
      <c r="D190" s="346">
        <v>6000</v>
      </c>
    </row>
    <row r="191" spans="2:10">
      <c r="B191" s="348" t="s">
        <v>1091</v>
      </c>
      <c r="C191" s="347"/>
      <c r="D191" s="346">
        <v>5000</v>
      </c>
      <c r="F191" s="79" t="s">
        <v>585</v>
      </c>
      <c r="J191" s="77">
        <f>5000+15000</f>
        <v>20000</v>
      </c>
    </row>
    <row r="192" spans="2:10" ht="13.5" thickBot="1">
      <c r="B192" s="426" t="s">
        <v>197</v>
      </c>
      <c r="C192" s="423"/>
      <c r="D192" s="424">
        <f>SUM(D190:D191)</f>
        <v>11000</v>
      </c>
      <c r="F192" s="79" t="s">
        <v>579</v>
      </c>
    </row>
    <row r="193" spans="2:31" ht="13.5" thickTop="1">
      <c r="B193" s="482"/>
      <c r="D193" s="77"/>
      <c r="F193" s="79" t="s">
        <v>580</v>
      </c>
    </row>
    <row r="194" spans="2:31" ht="15" thickBot="1">
      <c r="B194" s="425" t="s">
        <v>805</v>
      </c>
      <c r="D194" s="77"/>
      <c r="F194" s="199" t="s">
        <v>197</v>
      </c>
      <c r="G194" s="255"/>
      <c r="H194" s="255"/>
      <c r="I194" s="255"/>
      <c r="J194" s="175">
        <f>SUM(J182:J193)</f>
        <v>1082480</v>
      </c>
    </row>
    <row r="195" spans="2:31" ht="13.5" thickTop="1">
      <c r="B195" s="482" t="s">
        <v>968</v>
      </c>
      <c r="D195" s="77">
        <v>0</v>
      </c>
      <c r="F195" s="256"/>
      <c r="H195" s="77"/>
    </row>
    <row r="196" spans="2:31">
      <c r="B196" s="277" t="s">
        <v>1144</v>
      </c>
      <c r="D196" s="77">
        <v>5625</v>
      </c>
    </row>
    <row r="197" spans="2:31" ht="15" thickBot="1">
      <c r="B197" s="199" t="s">
        <v>197</v>
      </c>
      <c r="C197" s="200"/>
      <c r="D197" s="175">
        <f>SUM(D195:D196)</f>
        <v>5625</v>
      </c>
      <c r="F197" s="425" t="s">
        <v>817</v>
      </c>
    </row>
    <row r="198" spans="2:31" ht="13.5" thickTop="1">
      <c r="D198" s="77"/>
      <c r="F198" s="546"/>
      <c r="G198" s="546"/>
      <c r="H198" s="546"/>
      <c r="J198">
        <v>0</v>
      </c>
    </row>
    <row r="199" spans="2:31">
      <c r="B199" s="344" t="s">
        <v>1142</v>
      </c>
      <c r="C199" s="347"/>
      <c r="D199" s="346"/>
      <c r="F199" s="547"/>
      <c r="G199" s="547"/>
      <c r="H199" s="547"/>
      <c r="J199">
        <v>0</v>
      </c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</row>
    <row r="200" spans="2:31" ht="13.5" thickBot="1">
      <c r="B200" s="348" t="s">
        <v>1093</v>
      </c>
      <c r="C200" s="347"/>
      <c r="D200" s="346">
        <v>0</v>
      </c>
      <c r="F200" s="270" t="s">
        <v>197</v>
      </c>
      <c r="G200" s="266"/>
      <c r="H200" s="266"/>
      <c r="I200" s="175"/>
      <c r="J200" s="286">
        <f>SUM(J198:J199)</f>
        <v>0</v>
      </c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</row>
    <row r="201" spans="2:31" ht="13.5" thickTop="1">
      <c r="B201" s="396" t="s">
        <v>1020</v>
      </c>
      <c r="C201" s="347"/>
      <c r="D201" s="346">
        <v>6000</v>
      </c>
      <c r="I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</row>
    <row r="202" spans="2:31" ht="13.5" thickBot="1">
      <c r="B202" s="426" t="s">
        <v>197</v>
      </c>
      <c r="C202" s="423"/>
      <c r="D202" s="424">
        <f>SUM(D200:D201)</f>
        <v>6000</v>
      </c>
      <c r="I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</row>
    <row r="203" spans="2:31" ht="15" thickTop="1">
      <c r="D203" s="77"/>
      <c r="F203" s="425" t="s">
        <v>820</v>
      </c>
      <c r="G203" s="302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</row>
    <row r="204" spans="2:31" ht="14.25">
      <c r="B204" s="425" t="s">
        <v>806</v>
      </c>
      <c r="D204" s="77"/>
      <c r="F204" s="277" t="s">
        <v>688</v>
      </c>
      <c r="J204" s="315">
        <f>D95</f>
        <v>1082480</v>
      </c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</row>
    <row r="205" spans="2:31">
      <c r="B205" s="277" t="s">
        <v>1143</v>
      </c>
      <c r="D205" s="77"/>
      <c r="F205" s="277"/>
      <c r="J205" s="77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</row>
    <row r="206" spans="2:31">
      <c r="B206" s="277" t="s">
        <v>1143</v>
      </c>
      <c r="D206" s="77"/>
      <c r="F206" s="303" t="s">
        <v>824</v>
      </c>
      <c r="I206" s="311">
        <f>E96</f>
        <v>724291.77396217501</v>
      </c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spans="2:31" ht="13.5" thickBot="1">
      <c r="B207" s="199" t="s">
        <v>197</v>
      </c>
      <c r="C207" s="200"/>
      <c r="D207" s="175">
        <v>0</v>
      </c>
      <c r="F207" s="302" t="s">
        <v>825</v>
      </c>
      <c r="I207" s="311">
        <f>D130</f>
        <v>535</v>
      </c>
      <c r="J207" s="315">
        <f>I206+I207</f>
        <v>724826.77396217501</v>
      </c>
    </row>
    <row r="208" spans="2:31" ht="13.5" thickTop="1">
      <c r="F208" s="277"/>
      <c r="J208" s="77"/>
    </row>
    <row r="209" spans="2:31">
      <c r="B209" s="344" t="s">
        <v>1142</v>
      </c>
      <c r="C209" s="347"/>
      <c r="D209" s="347"/>
      <c r="F209" s="277" t="s">
        <v>823</v>
      </c>
      <c r="I209" s="311">
        <f>E97</f>
        <v>69814.626037825088</v>
      </c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spans="2:31">
      <c r="B210" s="486" t="s">
        <v>1148</v>
      </c>
      <c r="C210" s="347"/>
      <c r="D210" s="348"/>
      <c r="F210" s="302" t="s">
        <v>825</v>
      </c>
      <c r="I210" s="311">
        <f>D131</f>
        <v>11136.970000000001</v>
      </c>
      <c r="J210" s="315">
        <f>I209+I210</f>
        <v>80951.596037825089</v>
      </c>
    </row>
    <row r="211" spans="2:31">
      <c r="B211" s="548" t="s">
        <v>1096</v>
      </c>
      <c r="C211" s="548"/>
      <c r="D211" s="355">
        <v>0</v>
      </c>
      <c r="F211" s="277"/>
      <c r="J211" s="77"/>
    </row>
    <row r="212" spans="2:31" ht="13.5" thickBot="1">
      <c r="B212" s="426" t="s">
        <v>197</v>
      </c>
      <c r="C212" s="423"/>
      <c r="D212" s="428">
        <f>SUM(D211:D211)</f>
        <v>0</v>
      </c>
      <c r="F212" s="199" t="s">
        <v>197</v>
      </c>
      <c r="G212" s="266"/>
      <c r="H212" s="266"/>
      <c r="I212" s="200"/>
      <c r="J212" s="175">
        <f>SUM(J204:J211)</f>
        <v>1888258.37</v>
      </c>
    </row>
    <row r="213" spans="2:31" ht="13.5" thickTop="1">
      <c r="C213" s="34"/>
      <c r="D213" s="296"/>
    </row>
    <row r="215" spans="2:31">
      <c r="E215" s="77"/>
    </row>
    <row r="223" spans="2:31"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</row>
    <row r="224" spans="2:31">
      <c r="F224" s="34"/>
      <c r="G224" s="82"/>
      <c r="H224" s="82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</row>
    <row r="225" spans="6:31">
      <c r="F225" s="34"/>
      <c r="G225" s="82"/>
      <c r="H225" s="82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</row>
    <row r="226" spans="6:31"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</row>
    <row r="227" spans="6:31"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</row>
    <row r="228" spans="6:31"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</row>
    <row r="229" spans="6:31"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</row>
    <row r="230" spans="6:31">
      <c r="J230" s="65"/>
    </row>
    <row r="254" spans="10:31"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</row>
    <row r="255" spans="10:31">
      <c r="J255" s="65"/>
    </row>
    <row r="261" spans="1:10" s="254" customFormat="1">
      <c r="A261"/>
      <c r="B261"/>
      <c r="C261"/>
      <c r="D261"/>
      <c r="E261"/>
      <c r="F261"/>
      <c r="G261"/>
      <c r="H261"/>
      <c r="I261"/>
      <c r="J261"/>
    </row>
    <row r="262" spans="1:10">
      <c r="A262" s="254"/>
      <c r="B262" s="254"/>
      <c r="C262" s="254"/>
      <c r="D262" s="254"/>
      <c r="E262" s="254"/>
      <c r="F262" s="254"/>
      <c r="G262" s="254"/>
      <c r="H262" s="254"/>
      <c r="I262" s="254"/>
      <c r="J262" s="254"/>
    </row>
    <row r="306" spans="2:4">
      <c r="D306" s="77"/>
    </row>
    <row r="307" spans="2:4">
      <c r="B307" s="177"/>
      <c r="D307" s="77"/>
    </row>
    <row r="308" spans="2:4">
      <c r="B308" s="34"/>
      <c r="D308" s="77"/>
    </row>
    <row r="309" spans="2:4">
      <c r="D309" s="77"/>
    </row>
    <row r="310" spans="2:4">
      <c r="D310" s="77"/>
    </row>
  </sheetData>
  <mergeCells count="69">
    <mergeCell ref="L6:M6"/>
    <mergeCell ref="A1:G1"/>
    <mergeCell ref="D6:E6"/>
    <mergeCell ref="F6:G6"/>
    <mergeCell ref="H6:I6"/>
    <mergeCell ref="J6:K6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X6:AY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L6:AM6"/>
    <mergeCell ref="AN6:AO6"/>
    <mergeCell ref="AP6:AQ6"/>
    <mergeCell ref="AR6:AS6"/>
    <mergeCell ref="AT6:AU6"/>
    <mergeCell ref="AV6:AW6"/>
    <mergeCell ref="B104:I104"/>
    <mergeCell ref="AH7:AI7"/>
    <mergeCell ref="AJ7:AK7"/>
    <mergeCell ref="AL7:AM7"/>
    <mergeCell ref="AN7:AO7"/>
    <mergeCell ref="V7:W7"/>
    <mergeCell ref="X7:Y7"/>
    <mergeCell ref="Z7:AA7"/>
    <mergeCell ref="AB7:AC7"/>
    <mergeCell ref="AD7:AE7"/>
    <mergeCell ref="AF7:AG7"/>
    <mergeCell ref="AT7:AU7"/>
    <mergeCell ref="AV7:AW7"/>
    <mergeCell ref="AX7:AY7"/>
    <mergeCell ref="B68:C68"/>
    <mergeCell ref="B70:F70"/>
    <mergeCell ref="AP7:AQ7"/>
    <mergeCell ref="AR7:AS7"/>
    <mergeCell ref="F155:G155"/>
    <mergeCell ref="K105:N105"/>
    <mergeCell ref="K118:M118"/>
    <mergeCell ref="B140:J140"/>
    <mergeCell ref="F143:G143"/>
    <mergeCell ref="F144:G144"/>
    <mergeCell ref="F145:G145"/>
    <mergeCell ref="F146:G146"/>
    <mergeCell ref="F147:G147"/>
    <mergeCell ref="F150:G150"/>
    <mergeCell ref="F153:G153"/>
    <mergeCell ref="F154:G154"/>
    <mergeCell ref="F159:I160"/>
    <mergeCell ref="F161:G161"/>
    <mergeCell ref="F198:H198"/>
    <mergeCell ref="F199:H199"/>
    <mergeCell ref="B211:C211"/>
  </mergeCells>
  <conditionalFormatting sqref="E135:E136">
    <cfRule type="cellIs" dxfId="11" priority="1" operator="equal">
      <formula>"Feil"</formula>
    </cfRule>
    <cfRule type="cellIs" dxfId="10" priority="2" operator="equal">
      <formula>"OK"</formula>
    </cfRule>
  </conditionalFormatting>
  <hyperlinks>
    <hyperlink ref="D125" r:id="rId1" display="Regnskap skillebekk vel 2018.xlsx"/>
    <hyperlink ref="D107:D124" r:id="rId2" display="Regnskap skillebekk vel 2018.xlsx"/>
    <hyperlink ref="E71:E101" r:id="rId3" display="Regnskap skillebekk vel 2017.xlsx"/>
    <hyperlink ref="D71:D101" r:id="rId4" display="Regnskap skillebekk vel 2018.xlsx"/>
    <hyperlink ref="E71:E103" r:id="rId5" display="Regnskap skillebekk vel 2017.xlsx"/>
    <hyperlink ref="E106:E127" r:id="rId6" display="Regnskap skillebekk vel 2017.xlsx"/>
  </hyperlinks>
  <pageMargins left="0.7" right="0.7" top="0.75" bottom="0.75" header="0.3" footer="0.3"/>
  <pageSetup paperSize="9" orientation="portrait" r:id="rId7"/>
  <legacyDrawing r:id="rId8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D311"/>
  <sheetViews>
    <sheetView topLeftCell="AH1" zoomScale="50" zoomScaleNormal="50" zoomScalePageLayoutView="110" workbookViewId="0">
      <selection activeCell="AD14" sqref="A14:XFD14"/>
    </sheetView>
  </sheetViews>
  <sheetFormatPr baseColWidth="10" defaultColWidth="10.85546875" defaultRowHeight="12.75"/>
  <cols>
    <col min="1" max="1" width="10.140625" bestFit="1" customWidth="1"/>
    <col min="2" max="2" width="41.28515625" customWidth="1"/>
    <col min="3" max="3" width="7.85546875" customWidth="1"/>
    <col min="4" max="5" width="13.85546875" customWidth="1"/>
    <col min="6" max="8" width="13.42578125" customWidth="1"/>
    <col min="9" max="9" width="14" customWidth="1"/>
    <col min="10" max="11" width="13.42578125" customWidth="1"/>
    <col min="12" max="51" width="13.85546875" customWidth="1"/>
    <col min="52" max="71" width="12.7109375" customWidth="1"/>
  </cols>
  <sheetData>
    <row r="1" spans="1:238" s="37" customFormat="1" ht="37.5">
      <c r="A1" s="569" t="s">
        <v>1058</v>
      </c>
      <c r="B1" s="570"/>
      <c r="C1" s="570"/>
      <c r="D1" s="570"/>
      <c r="E1" s="570"/>
      <c r="F1" s="570"/>
      <c r="G1" s="570"/>
    </row>
    <row r="2" spans="1:238" s="37" customFormat="1" ht="15" customHeight="1" thickBot="1">
      <c r="A2" s="451"/>
      <c r="B2" s="451"/>
      <c r="C2" s="451"/>
    </row>
    <row r="3" spans="1:238" s="37" customFormat="1" ht="14.25">
      <c r="A3" s="452" t="s">
        <v>510</v>
      </c>
      <c r="B3" s="209"/>
      <c r="C3" s="209"/>
    </row>
    <row r="4" spans="1:238" s="37" customFormat="1" ht="14.25">
      <c r="A4" s="453" t="s">
        <v>153</v>
      </c>
      <c r="B4" s="210"/>
      <c r="C4" s="210"/>
    </row>
    <row r="5" spans="1:238" s="37" customFormat="1" ht="15" thickBot="1">
      <c r="A5" s="454" t="s">
        <v>159</v>
      </c>
      <c r="B5" s="210"/>
      <c r="C5" s="210"/>
      <c r="F5" s="37">
        <v>6100</v>
      </c>
      <c r="H5" s="37">
        <v>6200</v>
      </c>
      <c r="J5" s="37">
        <v>6300</v>
      </c>
      <c r="N5" s="37">
        <v>6400</v>
      </c>
      <c r="P5" s="37">
        <v>6500</v>
      </c>
      <c r="R5" s="37">
        <v>6600</v>
      </c>
      <c r="T5" s="37">
        <v>6700</v>
      </c>
      <c r="X5" s="37">
        <v>6800</v>
      </c>
      <c r="Z5" s="37">
        <v>6900</v>
      </c>
    </row>
    <row r="6" spans="1:238" s="208" customFormat="1">
      <c r="A6" s="228" t="s">
        <v>20</v>
      </c>
      <c r="B6" s="229" t="s">
        <v>0</v>
      </c>
      <c r="C6" s="230" t="s">
        <v>1</v>
      </c>
      <c r="D6" s="564" t="s">
        <v>650</v>
      </c>
      <c r="E6" s="564"/>
      <c r="F6" s="566" t="s">
        <v>328</v>
      </c>
      <c r="G6" s="566"/>
      <c r="H6" s="566" t="s">
        <v>477</v>
      </c>
      <c r="I6" s="566"/>
      <c r="J6" s="566" t="s">
        <v>163</v>
      </c>
      <c r="K6" s="566"/>
      <c r="L6" s="566" t="s">
        <v>759</v>
      </c>
      <c r="M6" s="566"/>
      <c r="N6" s="566" t="s">
        <v>95</v>
      </c>
      <c r="O6" s="566"/>
      <c r="P6" s="566" t="s">
        <v>336</v>
      </c>
      <c r="Q6" s="566"/>
      <c r="R6" s="567">
        <v>39585</v>
      </c>
      <c r="S6" s="566"/>
      <c r="T6" s="566" t="s">
        <v>338</v>
      </c>
      <c r="U6" s="566"/>
      <c r="V6" s="566" t="s">
        <v>468</v>
      </c>
      <c r="W6" s="566"/>
      <c r="X6" s="566" t="s">
        <v>684</v>
      </c>
      <c r="Y6" s="566"/>
      <c r="Z6" s="566" t="s">
        <v>761</v>
      </c>
      <c r="AA6" s="566"/>
      <c r="AB6" s="568" t="s">
        <v>6</v>
      </c>
      <c r="AC6" s="568"/>
      <c r="AD6" s="564" t="s">
        <v>607</v>
      </c>
      <c r="AE6" s="564"/>
      <c r="AF6" s="568" t="s">
        <v>331</v>
      </c>
      <c r="AG6" s="568"/>
      <c r="AH6" s="568" t="s">
        <v>355</v>
      </c>
      <c r="AI6" s="568"/>
      <c r="AJ6" s="564" t="s">
        <v>520</v>
      </c>
      <c r="AK6" s="564"/>
      <c r="AL6" s="564" t="s">
        <v>518</v>
      </c>
      <c r="AM6" s="564"/>
      <c r="AN6" s="564" t="s">
        <v>516</v>
      </c>
      <c r="AO6" s="564"/>
      <c r="AP6" s="564" t="s">
        <v>514</v>
      </c>
      <c r="AQ6" s="564"/>
      <c r="AR6" s="564" t="s">
        <v>687</v>
      </c>
      <c r="AS6" s="564"/>
      <c r="AT6" s="564" t="s">
        <v>692</v>
      </c>
      <c r="AU6" s="564"/>
      <c r="AV6" s="564" t="s">
        <v>30</v>
      </c>
      <c r="AW6" s="565"/>
      <c r="AX6" s="564" t="s">
        <v>32</v>
      </c>
      <c r="AY6" s="564"/>
    </row>
    <row r="7" spans="1:238" s="208" customFormat="1">
      <c r="A7" s="231"/>
      <c r="B7" s="252"/>
      <c r="C7" s="227" t="s">
        <v>16</v>
      </c>
      <c r="D7" s="559" t="s">
        <v>249</v>
      </c>
      <c r="E7" s="559"/>
      <c r="F7" s="563" t="s">
        <v>329</v>
      </c>
      <c r="G7" s="563"/>
      <c r="H7" s="563"/>
      <c r="I7" s="563"/>
      <c r="J7" s="563"/>
      <c r="K7" s="563"/>
      <c r="L7" s="563"/>
      <c r="M7" s="563"/>
      <c r="N7" s="563"/>
      <c r="O7" s="563"/>
      <c r="P7" s="563" t="s">
        <v>337</v>
      </c>
      <c r="Q7" s="563"/>
      <c r="R7" s="563"/>
      <c r="S7" s="563"/>
      <c r="T7" s="563"/>
      <c r="U7" s="563"/>
      <c r="V7" s="563" t="s">
        <v>685</v>
      </c>
      <c r="W7" s="563"/>
      <c r="X7" s="563"/>
      <c r="Y7" s="563"/>
      <c r="Z7" s="563" t="s">
        <v>686</v>
      </c>
      <c r="AA7" s="563"/>
      <c r="AB7" s="562"/>
      <c r="AC7" s="562"/>
      <c r="AD7" s="559" t="s">
        <v>608</v>
      </c>
      <c r="AE7" s="559"/>
      <c r="AF7" s="562" t="s">
        <v>650</v>
      </c>
      <c r="AG7" s="562"/>
      <c r="AH7" s="562"/>
      <c r="AI7" s="562"/>
      <c r="AJ7" s="559" t="s">
        <v>519</v>
      </c>
      <c r="AK7" s="559"/>
      <c r="AL7" s="559" t="s">
        <v>519</v>
      </c>
      <c r="AM7" s="559"/>
      <c r="AN7" s="559" t="s">
        <v>517</v>
      </c>
      <c r="AO7" s="559"/>
      <c r="AP7" s="559" t="s">
        <v>515</v>
      </c>
      <c r="AQ7" s="559"/>
      <c r="AR7" s="559" t="s">
        <v>791</v>
      </c>
      <c r="AS7" s="559"/>
      <c r="AT7" s="559" t="s">
        <v>790</v>
      </c>
      <c r="AU7" s="559"/>
      <c r="AV7" s="559"/>
      <c r="AW7" s="560"/>
      <c r="AX7" s="559"/>
      <c r="AY7" s="559"/>
    </row>
    <row r="8" spans="1:238" s="226" customFormat="1">
      <c r="A8" s="232"/>
      <c r="B8" s="222"/>
      <c r="C8" s="223"/>
      <c r="D8" s="224" t="s">
        <v>28</v>
      </c>
      <c r="E8" s="225" t="s">
        <v>29</v>
      </c>
      <c r="F8" s="224" t="s">
        <v>28</v>
      </c>
      <c r="G8" s="225" t="s">
        <v>29</v>
      </c>
      <c r="H8" s="224" t="s">
        <v>28</v>
      </c>
      <c r="I8" s="225" t="s">
        <v>29</v>
      </c>
      <c r="J8" s="224" t="s">
        <v>28</v>
      </c>
      <c r="K8" s="225" t="s">
        <v>29</v>
      </c>
      <c r="L8" s="224" t="s">
        <v>28</v>
      </c>
      <c r="M8" s="225" t="s">
        <v>29</v>
      </c>
      <c r="N8" s="224" t="s">
        <v>28</v>
      </c>
      <c r="O8" s="225" t="s">
        <v>29</v>
      </c>
      <c r="P8" s="224" t="s">
        <v>28</v>
      </c>
      <c r="Q8" s="225" t="s">
        <v>29</v>
      </c>
      <c r="R8" s="224" t="s">
        <v>28</v>
      </c>
      <c r="S8" s="225" t="s">
        <v>29</v>
      </c>
      <c r="T8" s="224" t="s">
        <v>28</v>
      </c>
      <c r="U8" s="225" t="s">
        <v>29</v>
      </c>
      <c r="V8" s="224" t="s">
        <v>28</v>
      </c>
      <c r="W8" s="225" t="s">
        <v>29</v>
      </c>
      <c r="X8" s="224" t="s">
        <v>28</v>
      </c>
      <c r="Y8" s="225" t="s">
        <v>29</v>
      </c>
      <c r="Z8" s="224" t="s">
        <v>28</v>
      </c>
      <c r="AA8" s="225" t="s">
        <v>29</v>
      </c>
      <c r="AB8" s="224" t="s">
        <v>28</v>
      </c>
      <c r="AC8" s="225" t="s">
        <v>29</v>
      </c>
      <c r="AD8" s="224" t="s">
        <v>28</v>
      </c>
      <c r="AE8" s="225" t="s">
        <v>29</v>
      </c>
      <c r="AF8" s="224" t="s">
        <v>28</v>
      </c>
      <c r="AG8" s="225" t="s">
        <v>29</v>
      </c>
      <c r="AH8" s="224" t="s">
        <v>28</v>
      </c>
      <c r="AI8" s="225" t="s">
        <v>29</v>
      </c>
      <c r="AJ8" s="224" t="s">
        <v>28</v>
      </c>
      <c r="AK8" s="225" t="s">
        <v>29</v>
      </c>
      <c r="AL8" s="224" t="s">
        <v>28</v>
      </c>
      <c r="AM8" s="225" t="s">
        <v>29</v>
      </c>
      <c r="AN8" s="224" t="s">
        <v>28</v>
      </c>
      <c r="AO8" s="225" t="s">
        <v>29</v>
      </c>
      <c r="AP8" s="224" t="s">
        <v>28</v>
      </c>
      <c r="AQ8" s="225" t="s">
        <v>29</v>
      </c>
      <c r="AR8" s="224" t="s">
        <v>28</v>
      </c>
      <c r="AS8" s="225" t="s">
        <v>29</v>
      </c>
      <c r="AT8" s="224" t="s">
        <v>28</v>
      </c>
      <c r="AU8" s="225" t="s">
        <v>29</v>
      </c>
      <c r="AV8" s="224" t="s">
        <v>28</v>
      </c>
      <c r="AW8" s="370" t="s">
        <v>29</v>
      </c>
      <c r="AX8" s="224" t="s">
        <v>28</v>
      </c>
      <c r="AY8" s="225" t="s">
        <v>29</v>
      </c>
    </row>
    <row r="9" spans="1:238" s="34" customFormat="1">
      <c r="A9" s="247" t="s">
        <v>840</v>
      </c>
      <c r="B9" s="248" t="s">
        <v>838</v>
      </c>
      <c r="C9" s="249"/>
      <c r="D9" s="250">
        <f>'Regnskap 2016'!D73</f>
        <v>63543.72</v>
      </c>
      <c r="E9" s="251"/>
      <c r="F9" s="250"/>
      <c r="G9" s="251"/>
      <c r="H9" s="250"/>
      <c r="I9" s="251"/>
      <c r="J9" s="250"/>
      <c r="K9" s="251"/>
      <c r="L9" s="250"/>
      <c r="M9" s="251"/>
      <c r="N9" s="250"/>
      <c r="O9" s="251"/>
      <c r="P9" s="250"/>
      <c r="Q9" s="251"/>
      <c r="R9" s="250"/>
      <c r="S9" s="251"/>
      <c r="T9" s="250"/>
      <c r="U9" s="251"/>
      <c r="V9" s="250"/>
      <c r="W9" s="251"/>
      <c r="X9" s="250"/>
      <c r="Y9" s="251"/>
      <c r="Z9" s="250"/>
      <c r="AA9" s="251"/>
      <c r="AB9" s="250"/>
      <c r="AC9" s="251"/>
      <c r="AD9" s="250">
        <f>'Regnskap 2016'!AD73</f>
        <v>834127.87</v>
      </c>
      <c r="AE9" s="251"/>
      <c r="AF9" s="250"/>
      <c r="AG9" s="251"/>
      <c r="AH9" s="250"/>
      <c r="AI9" s="251"/>
      <c r="AJ9" s="250">
        <f>'Regnskap 2016'!AJ73</f>
        <v>950000</v>
      </c>
      <c r="AK9" s="251"/>
      <c r="AL9" s="250">
        <f>'Regnskap 2016'!AL73</f>
        <v>112480</v>
      </c>
      <c r="AM9" s="251"/>
      <c r="AN9" s="250">
        <f>'Regnskap 2016'!AN73</f>
        <v>20000</v>
      </c>
      <c r="AO9" s="251"/>
      <c r="AP9" s="250"/>
      <c r="AQ9" s="251">
        <f>'Regnskap 2016'!AQ73</f>
        <v>1082480</v>
      </c>
      <c r="AR9" s="250"/>
      <c r="AS9" s="251">
        <f>'Regnskap 2016'!AS73</f>
        <v>723568.20573900011</v>
      </c>
      <c r="AT9" s="250"/>
      <c r="AU9" s="251">
        <f>'Regnskap 2016'!AU73</f>
        <v>66085.314260999919</v>
      </c>
      <c r="AV9" s="250"/>
      <c r="AW9" s="250">
        <f>'Regnskap 2016'!AW73</f>
        <v>108794.23</v>
      </c>
      <c r="AX9" s="250">
        <f>'Regnskap 2016'!AX73</f>
        <v>776.15999999999985</v>
      </c>
      <c r="AY9" s="251"/>
      <c r="AZ9" s="243">
        <f>+D9-E9+F9-G9+H9-I9+J9-K9+L9-M9+N9-O9+P9-Q9+R9-S9+T9-U9+V9-W9+X9-Y9+Z9-AA9+AB9-AC9+AD9-AE9+AF9-AG9+AH9-AI9+AJ9-AK9+AL9-AM9+AN9-AO9+AP9-AQ9+AR9-AS9+AT9-AU9+AV9-AW9+AX9-AY9</f>
        <v>-1.7826096154749393E-10</v>
      </c>
      <c r="BA9" s="244"/>
      <c r="BB9" s="244"/>
    </row>
    <row r="10" spans="1:238" s="79" customFormat="1">
      <c r="A10" s="463">
        <v>42737</v>
      </c>
      <c r="B10" s="280" t="s">
        <v>1028</v>
      </c>
      <c r="C10" s="285" t="s">
        <v>715</v>
      </c>
      <c r="D10" s="212"/>
      <c r="E10" s="213">
        <v>40</v>
      </c>
      <c r="F10" s="212"/>
      <c r="G10" s="213"/>
      <c r="H10" s="212"/>
      <c r="I10" s="213"/>
      <c r="J10" s="212"/>
      <c r="K10" s="213"/>
      <c r="L10" s="212"/>
      <c r="M10" s="213"/>
      <c r="N10" s="212"/>
      <c r="O10" s="213"/>
      <c r="P10" s="212">
        <v>40</v>
      </c>
      <c r="Q10" s="213"/>
      <c r="R10" s="212"/>
      <c r="S10" s="213"/>
      <c r="T10" s="212"/>
      <c r="U10" s="213"/>
      <c r="V10" s="212"/>
      <c r="W10" s="213"/>
      <c r="X10" s="212"/>
      <c r="Y10" s="213"/>
      <c r="Z10" s="212"/>
      <c r="AA10" s="213"/>
      <c r="AB10" s="212"/>
      <c r="AC10" s="213"/>
      <c r="AD10" s="212"/>
      <c r="AE10" s="213"/>
      <c r="AF10" s="212"/>
      <c r="AG10" s="213"/>
      <c r="AH10" s="212"/>
      <c r="AI10" s="213"/>
      <c r="AJ10" s="212"/>
      <c r="AK10" s="213"/>
      <c r="AL10" s="212"/>
      <c r="AM10" s="213"/>
      <c r="AN10" s="212"/>
      <c r="AO10" s="213"/>
      <c r="AP10" s="212"/>
      <c r="AQ10" s="213"/>
      <c r="AR10" s="212"/>
      <c r="AS10" s="213"/>
      <c r="AT10" s="212"/>
      <c r="AU10" s="213"/>
      <c r="AV10" s="212"/>
      <c r="AW10" s="372"/>
      <c r="AX10" s="212"/>
      <c r="AY10" s="213"/>
      <c r="AZ10" s="243">
        <f t="shared" ref="AZ10:AZ63" si="0">+D10-E10+F10-G10+H10-I10+J10-K10+L10-M10+N10-O10+P10-Q10+R10-S10+T10-U10+V10-W10+X10-Y10+Z10-AA10+AB10-AC10+AD10-AE10+AF10-AG10+AH10-AI10+AJ10-AK10+AL10-AM10+AN10-AO10+AP10-AQ10+AR10-AS10+AT10-AU10+AV10-AW10+AX10-AY10</f>
        <v>0</v>
      </c>
      <c r="BA10" s="194"/>
      <c r="BB10" s="194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</row>
    <row r="11" spans="1:238" s="79" customFormat="1">
      <c r="A11" s="410">
        <v>42754</v>
      </c>
      <c r="B11" s="404" t="s">
        <v>1060</v>
      </c>
      <c r="C11" s="411" t="s">
        <v>715</v>
      </c>
      <c r="D11" s="406">
        <v>585</v>
      </c>
      <c r="E11" s="215"/>
      <c r="F11" s="214"/>
      <c r="G11" s="215"/>
      <c r="H11" s="214"/>
      <c r="I11" s="215"/>
      <c r="J11" s="214"/>
      <c r="K11" s="215"/>
      <c r="L11" s="214"/>
      <c r="M11" s="215"/>
      <c r="N11" s="214"/>
      <c r="O11" s="215"/>
      <c r="P11" s="214"/>
      <c r="Q11" s="215"/>
      <c r="R11" s="214"/>
      <c r="S11" s="215"/>
      <c r="T11" s="214"/>
      <c r="U11" s="215"/>
      <c r="V11" s="214"/>
      <c r="W11" s="215"/>
      <c r="X11" s="214"/>
      <c r="Y11" s="215"/>
      <c r="Z11" s="214"/>
      <c r="AA11" s="215"/>
      <c r="AB11" s="214"/>
      <c r="AC11" s="215">
        <v>585</v>
      </c>
      <c r="AD11" s="214"/>
      <c r="AE11" s="215"/>
      <c r="AF11" s="214"/>
      <c r="AG11" s="215"/>
      <c r="AH11" s="214"/>
      <c r="AI11" s="215"/>
      <c r="AJ11" s="214"/>
      <c r="AK11" s="215"/>
      <c r="AL11" s="214"/>
      <c r="AM11" s="215"/>
      <c r="AN11" s="214"/>
      <c r="AO11" s="215"/>
      <c r="AP11" s="214"/>
      <c r="AQ11" s="215"/>
      <c r="AR11" s="214"/>
      <c r="AS11" s="215"/>
      <c r="AT11" s="214"/>
      <c r="AU11" s="215"/>
      <c r="AV11" s="362"/>
      <c r="AW11" s="373"/>
      <c r="AX11" s="362"/>
      <c r="AY11" s="215"/>
      <c r="AZ11" s="243">
        <f t="shared" si="0"/>
        <v>0</v>
      </c>
      <c r="BA11" s="194"/>
      <c r="BB11" s="194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</row>
    <row r="12" spans="1:238" s="79" customFormat="1">
      <c r="A12" s="463">
        <v>42767</v>
      </c>
      <c r="B12" s="280" t="s">
        <v>1028</v>
      </c>
      <c r="C12" s="285" t="s">
        <v>716</v>
      </c>
      <c r="D12" s="212"/>
      <c r="E12" s="213">
        <v>40</v>
      </c>
      <c r="F12" s="214"/>
      <c r="G12" s="215"/>
      <c r="H12" s="214"/>
      <c r="I12" s="215"/>
      <c r="J12" s="214"/>
      <c r="K12" s="215"/>
      <c r="L12" s="214"/>
      <c r="M12" s="215"/>
      <c r="N12" s="214"/>
      <c r="O12" s="215"/>
      <c r="P12" s="212">
        <v>40</v>
      </c>
      <c r="Q12" s="215"/>
      <c r="R12" s="214"/>
      <c r="S12" s="215"/>
      <c r="T12" s="214"/>
      <c r="U12" s="215"/>
      <c r="V12" s="214"/>
      <c r="W12" s="215"/>
      <c r="X12" s="214"/>
      <c r="Y12" s="215"/>
      <c r="Z12" s="214"/>
      <c r="AA12" s="215"/>
      <c r="AB12" s="214"/>
      <c r="AC12" s="215"/>
      <c r="AD12" s="214"/>
      <c r="AE12" s="215"/>
      <c r="AF12" s="214"/>
      <c r="AG12" s="215"/>
      <c r="AH12" s="214"/>
      <c r="AI12" s="215"/>
      <c r="AJ12" s="214"/>
      <c r="AK12" s="215"/>
      <c r="AL12" s="214"/>
      <c r="AM12" s="215"/>
      <c r="AN12" s="214"/>
      <c r="AO12" s="215"/>
      <c r="AP12" s="214"/>
      <c r="AQ12" s="215"/>
      <c r="AR12" s="214"/>
      <c r="AS12" s="215"/>
      <c r="AT12" s="214"/>
      <c r="AU12" s="215"/>
      <c r="AV12" s="362"/>
      <c r="AW12" s="374"/>
      <c r="AX12" s="362"/>
      <c r="AY12" s="363"/>
      <c r="AZ12" s="243">
        <f>+D12-E12+F12-G12+H12-I12+J12-K12+L12-M12+N12-O12+P12-Q12+R12-S12+T12-U12+V12-W12+X12-Y12+Z12-AA12+AB12-AC12+AD12-AE12+AF12-AG12+AH12-AI12+AJ12-AK12+AL12-AM12+AN12-AO12+AP12-AQ12+AR12-AS12+AT12-AU12+AV12-AW12+AX12-AY12</f>
        <v>0</v>
      </c>
      <c r="BA12" s="194"/>
      <c r="BB12" s="194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</row>
    <row r="13" spans="1:238" s="185" customFormat="1">
      <c r="A13" s="410">
        <v>42769</v>
      </c>
      <c r="B13" s="404" t="s">
        <v>1061</v>
      </c>
      <c r="C13" s="405" t="s">
        <v>716</v>
      </c>
      <c r="D13" s="406">
        <v>600</v>
      </c>
      <c r="E13" s="412"/>
      <c r="F13" s="365"/>
      <c r="G13" s="364"/>
      <c r="H13" s="365"/>
      <c r="I13" s="364"/>
      <c r="J13" s="365"/>
      <c r="K13" s="213"/>
      <c r="L13" s="212"/>
      <c r="M13" s="213"/>
      <c r="N13" s="212"/>
      <c r="O13" s="213"/>
      <c r="P13" s="365"/>
      <c r="Q13" s="364"/>
      <c r="R13" s="365"/>
      <c r="S13" s="364"/>
      <c r="T13" s="365"/>
      <c r="U13" s="213"/>
      <c r="V13" s="212"/>
      <c r="W13" s="213"/>
      <c r="X13" s="212"/>
      <c r="Y13" s="213"/>
      <c r="Z13" s="212"/>
      <c r="AA13" s="213"/>
      <c r="AB13" s="212"/>
      <c r="AC13" s="213">
        <v>600</v>
      </c>
      <c r="AD13" s="212"/>
      <c r="AE13" s="213"/>
      <c r="AF13" s="212"/>
      <c r="AG13" s="213"/>
      <c r="AH13" s="212"/>
      <c r="AI13" s="213"/>
      <c r="AJ13" s="212"/>
      <c r="AK13" s="213"/>
      <c r="AL13" s="212"/>
      <c r="AM13" s="213"/>
      <c r="AN13" s="212"/>
      <c r="AO13" s="213"/>
      <c r="AP13" s="212"/>
      <c r="AQ13" s="213"/>
      <c r="AR13" s="212"/>
      <c r="AS13" s="213"/>
      <c r="AT13" s="212"/>
      <c r="AU13" s="213"/>
      <c r="AV13" s="365"/>
      <c r="AW13" s="374"/>
      <c r="AX13" s="365"/>
      <c r="AY13" s="364"/>
      <c r="AZ13" s="243">
        <f>+D13-E13+F13-G13+H13-I13+J13-K13+L13-M13+N13-O13+P13-Q13+R13-S13+T13-U13+V13-W13+X13-Y13+Z13-AA13+AB13-AC13+AD13-AE13+AF13-AG13+AH13-AI13+AJ13-AK13+AL13-AM13+AN13-AO13+AP13-AQ13+AR13-AS13+AT13-AU13+AV13-AW13+AX13-AY13</f>
        <v>0</v>
      </c>
      <c r="BA13" s="194"/>
      <c r="BB13" s="194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</row>
    <row r="14" spans="1:238" s="79" customFormat="1">
      <c r="A14" s="463">
        <v>42767</v>
      </c>
      <c r="B14" s="280" t="s">
        <v>1072</v>
      </c>
      <c r="C14" s="285" t="s">
        <v>717</v>
      </c>
      <c r="D14" s="214"/>
      <c r="E14" s="215"/>
      <c r="F14" s="214"/>
      <c r="G14" s="215"/>
      <c r="H14" s="214"/>
      <c r="I14" s="215"/>
      <c r="J14" s="214"/>
      <c r="K14" s="215"/>
      <c r="L14" s="214"/>
      <c r="M14" s="215"/>
      <c r="N14" s="214"/>
      <c r="O14" s="215"/>
      <c r="P14" s="214"/>
      <c r="Q14" s="215"/>
      <c r="R14" s="214"/>
      <c r="S14" s="215"/>
      <c r="T14" s="214"/>
      <c r="U14" s="215"/>
      <c r="V14" s="214"/>
      <c r="W14" s="215"/>
      <c r="X14" s="214"/>
      <c r="Y14" s="215"/>
      <c r="Z14" s="214"/>
      <c r="AA14" s="215"/>
      <c r="AB14" s="214"/>
      <c r="AC14" s="468"/>
      <c r="AD14" s="214"/>
      <c r="AE14" s="215">
        <v>105000</v>
      </c>
      <c r="AF14" s="214"/>
      <c r="AG14" s="215"/>
      <c r="AH14" s="214"/>
      <c r="AI14" s="215"/>
      <c r="AJ14" s="214"/>
      <c r="AK14" s="215"/>
      <c r="AL14" s="214"/>
      <c r="AM14" s="215"/>
      <c r="AN14" s="214"/>
      <c r="AO14" s="215"/>
      <c r="AP14" s="214"/>
      <c r="AQ14" s="215"/>
      <c r="AR14" s="214"/>
      <c r="AS14" s="215"/>
      <c r="AT14" s="214"/>
      <c r="AU14" s="215"/>
      <c r="AV14" s="362">
        <v>105000</v>
      </c>
      <c r="AW14" s="373"/>
      <c r="AX14" s="362"/>
      <c r="AY14" s="215"/>
      <c r="AZ14" s="243">
        <f t="shared" si="0"/>
        <v>0</v>
      </c>
      <c r="BA14" s="194"/>
      <c r="BB14" s="194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</row>
    <row r="15" spans="1:238" s="79" customFormat="1">
      <c r="A15" s="463">
        <v>42767</v>
      </c>
      <c r="B15" s="280" t="s">
        <v>1059</v>
      </c>
      <c r="C15" s="285" t="s">
        <v>718</v>
      </c>
      <c r="D15" s="406"/>
      <c r="E15" s="466">
        <v>1226.25</v>
      </c>
      <c r="F15" s="365"/>
      <c r="G15" s="364"/>
      <c r="H15" s="365"/>
      <c r="I15" s="364"/>
      <c r="J15" s="365"/>
      <c r="K15" s="213"/>
      <c r="L15" s="212"/>
      <c r="M15" s="213"/>
      <c r="N15" s="212"/>
      <c r="O15" s="213"/>
      <c r="P15" s="365"/>
      <c r="Q15" s="364"/>
      <c r="R15" s="365"/>
      <c r="S15" s="364"/>
      <c r="T15" s="365"/>
      <c r="U15" s="213"/>
      <c r="V15" s="212"/>
      <c r="W15" s="213"/>
      <c r="X15" s="212"/>
      <c r="Y15" s="213"/>
      <c r="Z15" s="212"/>
      <c r="AA15" s="213"/>
      <c r="AB15" s="212"/>
      <c r="AC15" s="213"/>
      <c r="AD15" s="212"/>
      <c r="AE15" s="213"/>
      <c r="AF15" s="212"/>
      <c r="AG15" s="213"/>
      <c r="AH15" s="212"/>
      <c r="AI15" s="213"/>
      <c r="AJ15" s="212"/>
      <c r="AK15" s="213"/>
      <c r="AL15" s="212"/>
      <c r="AM15" s="213"/>
      <c r="AN15" s="212"/>
      <c r="AO15" s="213"/>
      <c r="AP15" s="212"/>
      <c r="AQ15" s="213"/>
      <c r="AR15" s="212"/>
      <c r="AS15" s="213"/>
      <c r="AT15" s="212"/>
      <c r="AU15" s="213"/>
      <c r="AV15" s="466">
        <v>1226.25</v>
      </c>
      <c r="AW15" s="374"/>
      <c r="AX15" s="365"/>
      <c r="AY15" s="364"/>
      <c r="AZ15" s="243">
        <f t="shared" si="0"/>
        <v>0</v>
      </c>
      <c r="BA15" s="194"/>
      <c r="BB15" s="194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</row>
    <row r="16" spans="1:238" s="79" customFormat="1">
      <c r="A16" s="463">
        <v>42795</v>
      </c>
      <c r="B16" s="280" t="s">
        <v>1028</v>
      </c>
      <c r="C16" s="285" t="s">
        <v>719</v>
      </c>
      <c r="D16" s="214"/>
      <c r="E16" s="215">
        <v>45.75</v>
      </c>
      <c r="F16" s="362"/>
      <c r="G16" s="363"/>
      <c r="H16" s="362"/>
      <c r="I16" s="363"/>
      <c r="J16" s="362"/>
      <c r="K16" s="215"/>
      <c r="L16" s="214"/>
      <c r="M16" s="215"/>
      <c r="N16" s="214"/>
      <c r="O16" s="215"/>
      <c r="P16" s="215">
        <v>45.75</v>
      </c>
      <c r="Q16" s="363"/>
      <c r="R16" s="362"/>
      <c r="S16" s="363"/>
      <c r="T16" s="362"/>
      <c r="U16" s="215"/>
      <c r="V16" s="214"/>
      <c r="W16" s="215"/>
      <c r="X16" s="214"/>
      <c r="Y16" s="215"/>
      <c r="Z16" s="214"/>
      <c r="AA16" s="215"/>
      <c r="AB16" s="214"/>
      <c r="AC16" s="215"/>
      <c r="AD16" s="214"/>
      <c r="AE16" s="215"/>
      <c r="AF16" s="214"/>
      <c r="AG16" s="215"/>
      <c r="AH16" s="214"/>
      <c r="AI16" s="215"/>
      <c r="AJ16" s="214"/>
      <c r="AK16" s="215"/>
      <c r="AL16" s="214"/>
      <c r="AM16" s="215"/>
      <c r="AN16" s="214"/>
      <c r="AO16" s="215"/>
      <c r="AP16" s="214"/>
      <c r="AQ16" s="215"/>
      <c r="AR16" s="214"/>
      <c r="AS16" s="215"/>
      <c r="AT16" s="214"/>
      <c r="AU16" s="215"/>
      <c r="AV16" s="362"/>
      <c r="AW16" s="373"/>
      <c r="AX16" s="362"/>
      <c r="AY16" s="363"/>
      <c r="AZ16" s="243">
        <f t="shared" si="0"/>
        <v>0</v>
      </c>
      <c r="BA16" s="194"/>
      <c r="BB16" s="194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</row>
    <row r="17" spans="1:238" s="498" customFormat="1">
      <c r="A17" s="487">
        <v>42797</v>
      </c>
      <c r="B17" s="488" t="s">
        <v>1080</v>
      </c>
      <c r="C17" s="489" t="s">
        <v>720</v>
      </c>
      <c r="D17" s="490"/>
      <c r="E17" s="491">
        <v>219.3</v>
      </c>
      <c r="F17" s="492"/>
      <c r="G17" s="493"/>
      <c r="H17" s="492">
        <v>219.3</v>
      </c>
      <c r="I17" s="493"/>
      <c r="J17" s="492"/>
      <c r="K17" s="491"/>
      <c r="L17" s="490"/>
      <c r="M17" s="491"/>
      <c r="N17" s="490"/>
      <c r="O17" s="491"/>
      <c r="P17" s="492"/>
      <c r="Q17" s="493"/>
      <c r="R17" s="492"/>
      <c r="S17" s="493"/>
      <c r="T17" s="492"/>
      <c r="U17" s="491"/>
      <c r="V17" s="490"/>
      <c r="W17" s="491"/>
      <c r="X17" s="490"/>
      <c r="Y17" s="491"/>
      <c r="Z17" s="490"/>
      <c r="AA17" s="491"/>
      <c r="AB17" s="490"/>
      <c r="AC17" s="494"/>
      <c r="AD17" s="490"/>
      <c r="AE17" s="491"/>
      <c r="AF17" s="490"/>
      <c r="AG17" s="491"/>
      <c r="AH17" s="490"/>
      <c r="AI17" s="491"/>
      <c r="AJ17" s="490"/>
      <c r="AK17" s="491"/>
      <c r="AL17" s="490"/>
      <c r="AM17" s="491"/>
      <c r="AN17" s="490"/>
      <c r="AO17" s="491"/>
      <c r="AP17" s="490"/>
      <c r="AQ17" s="491"/>
      <c r="AR17" s="490"/>
      <c r="AS17" s="491"/>
      <c r="AT17" s="490"/>
      <c r="AU17" s="491"/>
      <c r="AV17" s="492"/>
      <c r="AW17" s="495"/>
      <c r="AX17" s="492"/>
      <c r="AY17" s="493"/>
      <c r="AZ17" s="496">
        <f t="shared" si="0"/>
        <v>0</v>
      </c>
      <c r="BA17" s="497"/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499"/>
      <c r="EJ17" s="499"/>
      <c r="EK17" s="499"/>
      <c r="EL17" s="499"/>
      <c r="EM17" s="499"/>
      <c r="EN17" s="499"/>
      <c r="EO17" s="499"/>
      <c r="EP17" s="499"/>
      <c r="EQ17" s="499"/>
      <c r="ER17" s="499"/>
      <c r="ES17" s="499"/>
      <c r="ET17" s="499"/>
      <c r="EU17" s="499"/>
      <c r="EV17" s="499"/>
      <c r="EW17" s="499"/>
      <c r="EX17" s="499"/>
      <c r="EY17" s="499"/>
      <c r="EZ17" s="499"/>
      <c r="FA17" s="499"/>
      <c r="FB17" s="499"/>
      <c r="FC17" s="499"/>
      <c r="FD17" s="499"/>
      <c r="FE17" s="499"/>
      <c r="FF17" s="499"/>
      <c r="FG17" s="499"/>
      <c r="FH17" s="499"/>
      <c r="FI17" s="499"/>
      <c r="FJ17" s="499"/>
      <c r="FK17" s="499"/>
      <c r="FL17" s="499"/>
      <c r="FM17" s="499"/>
      <c r="FN17" s="499"/>
      <c r="FO17" s="499"/>
      <c r="FP17" s="499"/>
      <c r="FQ17" s="499"/>
      <c r="FR17" s="499"/>
      <c r="FS17" s="499"/>
      <c r="FT17" s="499"/>
      <c r="FU17" s="499"/>
      <c r="FV17" s="499"/>
      <c r="FW17" s="499"/>
      <c r="FX17" s="499"/>
      <c r="FY17" s="499"/>
      <c r="FZ17" s="499"/>
      <c r="GA17" s="499"/>
      <c r="GB17" s="499"/>
      <c r="GC17" s="499"/>
      <c r="GD17" s="499"/>
      <c r="GE17" s="499"/>
      <c r="GF17" s="499"/>
      <c r="GG17" s="499"/>
      <c r="GH17" s="499"/>
      <c r="GI17" s="499"/>
      <c r="GJ17" s="499"/>
      <c r="GK17" s="499"/>
      <c r="GL17" s="499"/>
      <c r="GM17" s="499"/>
      <c r="GN17" s="499"/>
      <c r="GO17" s="499"/>
      <c r="GP17" s="499"/>
      <c r="GQ17" s="499"/>
      <c r="GR17" s="499"/>
      <c r="GS17" s="499"/>
      <c r="GT17" s="499"/>
      <c r="GU17" s="499"/>
      <c r="GV17" s="499"/>
      <c r="GW17" s="499"/>
      <c r="GX17" s="499"/>
      <c r="GY17" s="499"/>
      <c r="GZ17" s="499"/>
      <c r="HA17" s="499"/>
      <c r="HB17" s="499"/>
      <c r="HC17" s="499"/>
      <c r="HD17" s="499"/>
      <c r="HE17" s="499"/>
      <c r="HF17" s="499"/>
      <c r="HG17" s="499"/>
      <c r="HH17" s="499"/>
      <c r="HI17" s="499"/>
      <c r="HJ17" s="499"/>
      <c r="HK17" s="499"/>
      <c r="HL17" s="499"/>
      <c r="HM17" s="499"/>
      <c r="HN17" s="499"/>
      <c r="HO17" s="499"/>
      <c r="HP17" s="499"/>
      <c r="HQ17" s="499"/>
      <c r="HR17" s="499"/>
      <c r="HS17" s="499"/>
      <c r="HT17" s="499"/>
      <c r="HU17" s="499"/>
      <c r="HV17" s="499"/>
      <c r="HW17" s="499"/>
      <c r="HX17" s="499"/>
      <c r="HY17" s="499"/>
      <c r="HZ17" s="499"/>
      <c r="IA17" s="499"/>
      <c r="IB17" s="499"/>
      <c r="IC17" s="499"/>
      <c r="ID17" s="499"/>
    </row>
    <row r="18" spans="1:238" s="79" customFormat="1">
      <c r="A18" s="463">
        <v>42797</v>
      </c>
      <c r="B18" s="280" t="s">
        <v>1102</v>
      </c>
      <c r="C18" s="285" t="s">
        <v>1103</v>
      </c>
      <c r="D18" s="214"/>
      <c r="E18" s="215">
        <v>1872.48</v>
      </c>
      <c r="F18" s="362"/>
      <c r="G18" s="363"/>
      <c r="H18" s="362">
        <v>199.5</v>
      </c>
      <c r="I18" s="363"/>
      <c r="J18" s="362"/>
      <c r="K18" s="215"/>
      <c r="L18" s="214"/>
      <c r="M18" s="215"/>
      <c r="N18" s="214"/>
      <c r="O18" s="215"/>
      <c r="P18" s="362"/>
      <c r="Q18" s="363"/>
      <c r="R18" s="362"/>
      <c r="S18" s="363"/>
      <c r="T18" s="362"/>
      <c r="U18" s="215"/>
      <c r="V18" s="214"/>
      <c r="W18" s="215"/>
      <c r="X18" s="214"/>
      <c r="Y18" s="215"/>
      <c r="Z18" s="214"/>
      <c r="AA18" s="215"/>
      <c r="AB18" s="214"/>
      <c r="AC18" s="215"/>
      <c r="AD18" s="214"/>
      <c r="AE18" s="215"/>
      <c r="AF18" s="214"/>
      <c r="AG18" s="215"/>
      <c r="AH18" s="214"/>
      <c r="AI18" s="215"/>
      <c r="AJ18" s="214"/>
      <c r="AK18" s="215"/>
      <c r="AL18" s="214"/>
      <c r="AM18" s="215"/>
      <c r="AN18" s="214"/>
      <c r="AO18" s="215"/>
      <c r="AP18" s="214"/>
      <c r="AQ18" s="215"/>
      <c r="AR18" s="214"/>
      <c r="AS18" s="215"/>
      <c r="AT18" s="214"/>
      <c r="AU18" s="215"/>
      <c r="AV18" s="362">
        <v>1672.98</v>
      </c>
      <c r="AW18" s="373"/>
      <c r="AX18" s="362"/>
      <c r="AY18" s="363"/>
      <c r="AZ18" s="243">
        <f t="shared" si="0"/>
        <v>0</v>
      </c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</row>
    <row r="19" spans="1:238" s="79" customFormat="1">
      <c r="A19" s="403">
        <v>42797</v>
      </c>
      <c r="B19" s="404" t="s">
        <v>1064</v>
      </c>
      <c r="C19" s="284" t="s">
        <v>719</v>
      </c>
      <c r="D19" s="214">
        <v>2692.5</v>
      </c>
      <c r="E19" s="215"/>
      <c r="F19" s="362"/>
      <c r="G19" s="363"/>
      <c r="H19" s="362"/>
      <c r="I19" s="363"/>
      <c r="J19" s="362"/>
      <c r="K19" s="215"/>
      <c r="L19" s="214"/>
      <c r="M19" s="215"/>
      <c r="N19" s="214"/>
      <c r="O19" s="215"/>
      <c r="P19" s="362"/>
      <c r="Q19" s="363"/>
      <c r="R19" s="362"/>
      <c r="S19" s="363"/>
      <c r="T19" s="362"/>
      <c r="U19" s="215"/>
      <c r="V19" s="214"/>
      <c r="W19" s="215"/>
      <c r="X19" s="214"/>
      <c r="Y19" s="215"/>
      <c r="Z19" s="214"/>
      <c r="AA19" s="215"/>
      <c r="AB19" s="214"/>
      <c r="AC19" s="215">
        <v>2692.5</v>
      </c>
      <c r="AD19" s="214"/>
      <c r="AE19" s="215"/>
      <c r="AF19" s="214"/>
      <c r="AG19" s="215"/>
      <c r="AH19" s="214"/>
      <c r="AI19" s="215"/>
      <c r="AJ19" s="214"/>
      <c r="AK19" s="215"/>
      <c r="AL19" s="214"/>
      <c r="AM19" s="215"/>
      <c r="AN19" s="214"/>
      <c r="AO19" s="215"/>
      <c r="AP19" s="214"/>
      <c r="AQ19" s="215"/>
      <c r="AR19" s="214"/>
      <c r="AS19" s="215"/>
      <c r="AT19" s="214"/>
      <c r="AU19" s="215"/>
      <c r="AV19" s="362"/>
      <c r="AW19" s="373"/>
      <c r="AX19" s="362"/>
      <c r="AY19" s="363"/>
      <c r="AZ19" s="243">
        <f t="shared" si="0"/>
        <v>0</v>
      </c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</row>
    <row r="20" spans="1:238" s="385" customFormat="1">
      <c r="A20" s="369">
        <v>42808</v>
      </c>
      <c r="B20" s="280" t="s">
        <v>1101</v>
      </c>
      <c r="C20" s="284" t="s">
        <v>722</v>
      </c>
      <c r="D20" s="214">
        <v>776.16</v>
      </c>
      <c r="E20" s="215"/>
      <c r="F20" s="214"/>
      <c r="G20" s="215"/>
      <c r="H20" s="214"/>
      <c r="I20" s="215"/>
      <c r="J20" s="214"/>
      <c r="K20" s="215"/>
      <c r="L20" s="214"/>
      <c r="M20" s="215"/>
      <c r="N20" s="214"/>
      <c r="O20" s="215"/>
      <c r="P20" s="214"/>
      <c r="Q20" s="215"/>
      <c r="R20" s="214"/>
      <c r="S20" s="215"/>
      <c r="T20" s="214"/>
      <c r="U20" s="215"/>
      <c r="V20" s="214"/>
      <c r="W20" s="215"/>
      <c r="X20" s="214"/>
      <c r="Y20" s="215"/>
      <c r="Z20" s="214"/>
      <c r="AA20" s="215"/>
      <c r="AB20" s="214"/>
      <c r="AC20" s="215"/>
      <c r="AD20" s="214"/>
      <c r="AE20" s="215"/>
      <c r="AF20" s="214"/>
      <c r="AG20" s="215"/>
      <c r="AH20" s="214"/>
      <c r="AI20" s="215"/>
      <c r="AJ20" s="214"/>
      <c r="AK20" s="215"/>
      <c r="AL20" s="214"/>
      <c r="AM20" s="215"/>
      <c r="AN20" s="214"/>
      <c r="AO20" s="215"/>
      <c r="AP20" s="214"/>
      <c r="AQ20" s="215"/>
      <c r="AR20" s="214"/>
      <c r="AS20" s="215"/>
      <c r="AT20" s="214"/>
      <c r="AU20" s="215"/>
      <c r="AV20" s="214"/>
      <c r="AW20" s="319"/>
      <c r="AX20" s="214"/>
      <c r="AY20" s="215">
        <v>776.16</v>
      </c>
      <c r="AZ20" s="243">
        <f t="shared" si="0"/>
        <v>0</v>
      </c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</row>
    <row r="21" spans="1:238" s="79" customFormat="1">
      <c r="A21" s="369">
        <v>42810</v>
      </c>
      <c r="B21" s="280" t="s">
        <v>1062</v>
      </c>
      <c r="C21" s="284" t="s">
        <v>723</v>
      </c>
      <c r="D21" s="214"/>
      <c r="E21" s="215">
        <v>895</v>
      </c>
      <c r="F21" s="362"/>
      <c r="G21" s="363"/>
      <c r="H21" s="362"/>
      <c r="I21" s="363"/>
      <c r="J21" s="362"/>
      <c r="K21" s="215"/>
      <c r="L21" s="214"/>
      <c r="M21" s="215"/>
      <c r="N21" s="214"/>
      <c r="O21" s="215"/>
      <c r="P21" s="362"/>
      <c r="Q21" s="363"/>
      <c r="R21" s="362"/>
      <c r="S21" s="363"/>
      <c r="T21" s="362"/>
      <c r="U21" s="215"/>
      <c r="V21" s="214"/>
      <c r="W21" s="215"/>
      <c r="X21" s="214"/>
      <c r="Y21" s="215"/>
      <c r="Z21" s="214"/>
      <c r="AA21" s="215"/>
      <c r="AB21" s="214"/>
      <c r="AC21" s="215"/>
      <c r="AD21" s="214"/>
      <c r="AE21" s="215"/>
      <c r="AF21" s="214"/>
      <c r="AG21" s="215"/>
      <c r="AH21" s="214"/>
      <c r="AI21" s="215"/>
      <c r="AJ21" s="214"/>
      <c r="AK21" s="215"/>
      <c r="AL21" s="214"/>
      <c r="AM21" s="215"/>
      <c r="AN21" s="214"/>
      <c r="AO21" s="215"/>
      <c r="AP21" s="214"/>
      <c r="AQ21" s="215"/>
      <c r="AR21" s="214"/>
      <c r="AS21" s="215"/>
      <c r="AT21" s="214"/>
      <c r="AU21" s="215"/>
      <c r="AV21" s="362">
        <v>895</v>
      </c>
      <c r="AW21" s="373"/>
      <c r="AX21" s="362"/>
      <c r="AY21" s="363"/>
      <c r="AZ21" s="243">
        <f t="shared" si="0"/>
        <v>0</v>
      </c>
    </row>
    <row r="22" spans="1:238" s="79" customFormat="1">
      <c r="A22" s="369">
        <v>42815</v>
      </c>
      <c r="B22" s="280" t="s">
        <v>1063</v>
      </c>
      <c r="C22" s="284" t="s">
        <v>724</v>
      </c>
      <c r="D22" s="406"/>
      <c r="E22" s="323">
        <v>751</v>
      </c>
      <c r="F22" s="362"/>
      <c r="G22" s="363"/>
      <c r="H22" s="362"/>
      <c r="I22" s="363"/>
      <c r="J22" s="362"/>
      <c r="K22" s="215"/>
      <c r="L22" s="214"/>
      <c r="M22" s="215"/>
      <c r="N22" s="214"/>
      <c r="O22" s="215"/>
      <c r="P22" s="362"/>
      <c r="Q22" s="363"/>
      <c r="R22" s="362"/>
      <c r="S22" s="363"/>
      <c r="T22" s="362">
        <v>751</v>
      </c>
      <c r="U22" s="215"/>
      <c r="V22" s="214"/>
      <c r="W22" s="215"/>
      <c r="X22" s="214"/>
      <c r="Y22" s="215"/>
      <c r="Z22" s="214"/>
      <c r="AA22" s="215"/>
      <c r="AB22" s="214"/>
      <c r="AC22" s="215"/>
      <c r="AD22" s="214"/>
      <c r="AE22" s="215"/>
      <c r="AF22" s="214"/>
      <c r="AG22" s="215"/>
      <c r="AH22" s="214"/>
      <c r="AI22" s="215"/>
      <c r="AJ22" s="214"/>
      <c r="AK22" s="215"/>
      <c r="AL22" s="214"/>
      <c r="AM22" s="215"/>
      <c r="AN22" s="214"/>
      <c r="AO22" s="215"/>
      <c r="AP22" s="214"/>
      <c r="AQ22" s="215"/>
      <c r="AR22" s="214"/>
      <c r="AS22" s="215"/>
      <c r="AT22" s="214"/>
      <c r="AU22" s="215"/>
      <c r="AV22" s="362"/>
      <c r="AW22" s="373"/>
      <c r="AX22" s="362"/>
      <c r="AY22" s="363"/>
      <c r="AZ22" s="243">
        <f t="shared" si="0"/>
        <v>0</v>
      </c>
    </row>
    <row r="23" spans="1:238" s="385" customFormat="1">
      <c r="A23" s="369">
        <v>42816</v>
      </c>
      <c r="B23" s="280" t="s">
        <v>1100</v>
      </c>
      <c r="C23" s="284" t="s">
        <v>725</v>
      </c>
      <c r="D23" s="214"/>
      <c r="E23" s="215">
        <v>704</v>
      </c>
      <c r="F23" s="214"/>
      <c r="G23" s="215"/>
      <c r="H23" s="214">
        <v>704</v>
      </c>
      <c r="I23" s="215"/>
      <c r="J23" s="362"/>
      <c r="K23" s="215"/>
      <c r="L23" s="214"/>
      <c r="M23" s="215"/>
      <c r="N23" s="214"/>
      <c r="O23" s="215"/>
      <c r="P23" s="214"/>
      <c r="Q23" s="215"/>
      <c r="R23" s="214"/>
      <c r="S23" s="215"/>
      <c r="T23" s="214"/>
      <c r="U23" s="215"/>
      <c r="V23" s="214"/>
      <c r="W23" s="215"/>
      <c r="X23" s="214"/>
      <c r="Y23" s="215"/>
      <c r="Z23" s="214"/>
      <c r="AA23" s="215"/>
      <c r="AB23" s="214"/>
      <c r="AC23" s="215"/>
      <c r="AD23" s="214"/>
      <c r="AE23" s="215"/>
      <c r="AF23" s="214"/>
      <c r="AG23" s="215"/>
      <c r="AH23" s="214"/>
      <c r="AI23" s="215"/>
      <c r="AJ23" s="214"/>
      <c r="AK23" s="215"/>
      <c r="AL23" s="214"/>
      <c r="AM23" s="215"/>
      <c r="AN23" s="214"/>
      <c r="AO23" s="215"/>
      <c r="AP23" s="214"/>
      <c r="AQ23" s="215"/>
      <c r="AR23" s="214"/>
      <c r="AS23" s="215"/>
      <c r="AT23" s="214"/>
      <c r="AU23" s="215"/>
      <c r="AV23" s="214"/>
      <c r="AW23" s="319"/>
      <c r="AX23" s="214"/>
      <c r="AY23" s="215"/>
      <c r="AZ23" s="243">
        <f t="shared" si="0"/>
        <v>0</v>
      </c>
    </row>
    <row r="24" spans="1:238" s="498" customFormat="1">
      <c r="A24" s="500">
        <v>42817</v>
      </c>
      <c r="B24" s="488" t="s">
        <v>1099</v>
      </c>
      <c r="C24" s="489" t="s">
        <v>726</v>
      </c>
      <c r="D24" s="501"/>
      <c r="E24" s="491">
        <v>90.6</v>
      </c>
      <c r="F24" s="492"/>
      <c r="G24" s="493"/>
      <c r="H24" s="492"/>
      <c r="I24" s="493"/>
      <c r="J24" s="492"/>
      <c r="K24" s="491"/>
      <c r="L24" s="490"/>
      <c r="M24" s="491"/>
      <c r="N24" s="490"/>
      <c r="O24" s="491"/>
      <c r="P24" s="492">
        <v>90.6</v>
      </c>
      <c r="Q24" s="493"/>
      <c r="R24" s="492"/>
      <c r="S24" s="493"/>
      <c r="T24" s="492"/>
      <c r="U24" s="491"/>
      <c r="V24" s="490"/>
      <c r="W24" s="491"/>
      <c r="X24" s="490"/>
      <c r="Y24" s="491"/>
      <c r="Z24" s="490"/>
      <c r="AA24" s="491"/>
      <c r="AB24" s="490"/>
      <c r="AC24" s="491"/>
      <c r="AD24" s="490"/>
      <c r="AE24" s="491"/>
      <c r="AF24" s="490"/>
      <c r="AG24" s="491"/>
      <c r="AH24" s="490"/>
      <c r="AI24" s="491"/>
      <c r="AJ24" s="490"/>
      <c r="AK24" s="491"/>
      <c r="AL24" s="490"/>
      <c r="AM24" s="491"/>
      <c r="AN24" s="490"/>
      <c r="AO24" s="491"/>
      <c r="AP24" s="490"/>
      <c r="AQ24" s="491"/>
      <c r="AR24" s="490"/>
      <c r="AS24" s="491"/>
      <c r="AT24" s="490"/>
      <c r="AU24" s="491"/>
      <c r="AV24" s="492"/>
      <c r="AW24" s="495"/>
      <c r="AX24" s="492"/>
      <c r="AY24" s="493"/>
      <c r="AZ24" s="496">
        <f t="shared" si="0"/>
        <v>0</v>
      </c>
    </row>
    <row r="25" spans="1:238" s="79" customFormat="1">
      <c r="A25" s="403">
        <v>42829</v>
      </c>
      <c r="B25" s="404" t="s">
        <v>1061</v>
      </c>
      <c r="C25" s="405" t="s">
        <v>727</v>
      </c>
      <c r="D25" s="406">
        <v>600</v>
      </c>
      <c r="E25" s="407"/>
      <c r="F25" s="362"/>
      <c r="G25" s="363"/>
      <c r="H25" s="362"/>
      <c r="I25" s="363"/>
      <c r="J25" s="362"/>
      <c r="K25" s="215"/>
      <c r="L25" s="214"/>
      <c r="M25" s="215"/>
      <c r="N25" s="214"/>
      <c r="O25" s="215"/>
      <c r="P25" s="362"/>
      <c r="Q25" s="363"/>
      <c r="R25" s="362"/>
      <c r="S25" s="363"/>
      <c r="T25" s="362"/>
      <c r="U25" s="215"/>
      <c r="V25" s="214"/>
      <c r="W25" s="215"/>
      <c r="X25" s="214"/>
      <c r="Y25" s="215"/>
      <c r="Z25" s="214"/>
      <c r="AA25" s="215"/>
      <c r="AB25" s="214"/>
      <c r="AC25" s="215">
        <v>600</v>
      </c>
      <c r="AD25" s="214"/>
      <c r="AE25" s="215"/>
      <c r="AF25" s="214"/>
      <c r="AG25" s="215"/>
      <c r="AH25" s="214"/>
      <c r="AI25" s="215"/>
      <c r="AJ25" s="214"/>
      <c r="AK25" s="215"/>
      <c r="AL25" s="214"/>
      <c r="AM25" s="215"/>
      <c r="AN25" s="214"/>
      <c r="AO25" s="215"/>
      <c r="AP25" s="214"/>
      <c r="AQ25" s="215"/>
      <c r="AR25" s="214"/>
      <c r="AS25" s="215"/>
      <c r="AT25" s="214"/>
      <c r="AU25" s="215"/>
      <c r="AV25" s="362"/>
      <c r="AW25" s="373"/>
      <c r="AX25" s="362"/>
      <c r="AY25" s="363"/>
      <c r="AZ25" s="243">
        <f t="shared" si="0"/>
        <v>0</v>
      </c>
      <c r="BB25" s="277"/>
    </row>
    <row r="26" spans="1:238" s="79" customFormat="1">
      <c r="A26" s="369">
        <v>42830</v>
      </c>
      <c r="B26" s="280" t="s">
        <v>1028</v>
      </c>
      <c r="C26" s="284" t="s">
        <v>727</v>
      </c>
      <c r="D26" s="214"/>
      <c r="E26" s="215">
        <v>138.75</v>
      </c>
      <c r="F26" s="362"/>
      <c r="G26" s="363"/>
      <c r="H26" s="362"/>
      <c r="I26" s="363"/>
      <c r="J26" s="214"/>
      <c r="K26" s="215"/>
      <c r="L26" s="214"/>
      <c r="M26" s="215"/>
      <c r="N26" s="214"/>
      <c r="O26" s="215"/>
      <c r="P26" s="362">
        <v>138.75</v>
      </c>
      <c r="Q26" s="363"/>
      <c r="R26" s="362"/>
      <c r="S26" s="363"/>
      <c r="T26" s="362"/>
      <c r="U26" s="215"/>
      <c r="V26" s="214"/>
      <c r="W26" s="215"/>
      <c r="X26" s="214"/>
      <c r="Y26" s="215"/>
      <c r="Z26" s="214"/>
      <c r="AA26" s="215"/>
      <c r="AB26" s="214"/>
      <c r="AC26" s="215"/>
      <c r="AD26" s="214"/>
      <c r="AE26" s="215"/>
      <c r="AF26" s="214"/>
      <c r="AG26" s="215"/>
      <c r="AH26" s="214"/>
      <c r="AI26" s="215"/>
      <c r="AJ26" s="214"/>
      <c r="AK26" s="215"/>
      <c r="AL26" s="214"/>
      <c r="AM26" s="215"/>
      <c r="AN26" s="214"/>
      <c r="AO26" s="215"/>
      <c r="AP26" s="214"/>
      <c r="AQ26" s="215"/>
      <c r="AR26" s="214"/>
      <c r="AS26" s="215"/>
      <c r="AT26" s="214"/>
      <c r="AU26" s="215"/>
      <c r="AV26" s="214"/>
      <c r="AW26" s="319"/>
      <c r="AX26" s="214"/>
      <c r="AY26" s="215"/>
      <c r="AZ26" s="243">
        <f t="shared" si="0"/>
        <v>0</v>
      </c>
    </row>
    <row r="27" spans="1:238" s="79" customFormat="1">
      <c r="A27" s="369">
        <v>42857</v>
      </c>
      <c r="B27" s="280" t="s">
        <v>1028</v>
      </c>
      <c r="C27" s="285" t="s">
        <v>728</v>
      </c>
      <c r="D27" s="214"/>
      <c r="E27" s="215">
        <v>40</v>
      </c>
      <c r="F27" s="214"/>
      <c r="G27" s="215"/>
      <c r="H27" s="214"/>
      <c r="I27" s="215"/>
      <c r="K27" s="215"/>
      <c r="L27" s="214"/>
      <c r="M27" s="215"/>
      <c r="N27" s="214"/>
      <c r="O27" s="215"/>
      <c r="P27" s="362">
        <v>40</v>
      </c>
      <c r="Q27" s="363"/>
      <c r="R27" s="362"/>
      <c r="S27" s="363"/>
      <c r="T27" s="362"/>
      <c r="U27" s="215"/>
      <c r="V27" s="214"/>
      <c r="W27" s="215"/>
      <c r="X27" s="214"/>
      <c r="Y27" s="215"/>
      <c r="Z27" s="214"/>
      <c r="AA27" s="215"/>
      <c r="AB27" s="321"/>
      <c r="AC27" s="215"/>
      <c r="AD27" s="214"/>
      <c r="AE27" s="215"/>
      <c r="AF27" s="214"/>
      <c r="AG27" s="215"/>
      <c r="AH27" s="214"/>
      <c r="AI27" s="215"/>
      <c r="AJ27" s="214"/>
      <c r="AK27" s="215"/>
      <c r="AL27" s="214"/>
      <c r="AM27" s="215"/>
      <c r="AN27" s="214"/>
      <c r="AO27" s="215"/>
      <c r="AP27" s="214"/>
      <c r="AQ27" s="215"/>
      <c r="AR27" s="214"/>
      <c r="AS27" s="215"/>
      <c r="AT27" s="214"/>
      <c r="AU27" s="215"/>
      <c r="AV27" s="214"/>
      <c r="AW27" s="319"/>
      <c r="AX27" s="214"/>
      <c r="AY27" s="215"/>
      <c r="AZ27" s="243">
        <f t="shared" si="0"/>
        <v>0</v>
      </c>
    </row>
    <row r="28" spans="1:238" s="79" customFormat="1">
      <c r="A28" s="403">
        <v>42860</v>
      </c>
      <c r="B28" s="404" t="s">
        <v>1065</v>
      </c>
      <c r="C28" s="405" t="s">
        <v>728</v>
      </c>
      <c r="D28" s="406">
        <v>23700</v>
      </c>
      <c r="E28" s="215"/>
      <c r="F28" s="214"/>
      <c r="G28" s="215"/>
      <c r="H28" s="214"/>
      <c r="I28" s="215"/>
      <c r="J28" s="214"/>
      <c r="K28" s="215"/>
      <c r="L28" s="214"/>
      <c r="M28" s="215"/>
      <c r="N28" s="214"/>
      <c r="O28" s="215"/>
      <c r="P28" s="362"/>
      <c r="Q28" s="363"/>
      <c r="R28" s="362"/>
      <c r="S28" s="363"/>
      <c r="T28" s="362"/>
      <c r="U28" s="215"/>
      <c r="V28" s="214"/>
      <c r="W28" s="215"/>
      <c r="X28" s="214"/>
      <c r="Y28" s="215"/>
      <c r="Z28" s="214"/>
      <c r="AA28" s="215"/>
      <c r="AB28" s="214"/>
      <c r="AC28" s="215">
        <v>23700</v>
      </c>
      <c r="AD28" s="214"/>
      <c r="AE28" s="215"/>
      <c r="AF28" s="214"/>
      <c r="AG28" s="215"/>
      <c r="AH28" s="214"/>
      <c r="AI28" s="215"/>
      <c r="AJ28" s="214"/>
      <c r="AK28" s="215"/>
      <c r="AL28" s="214"/>
      <c r="AM28" s="215"/>
      <c r="AN28" s="214"/>
      <c r="AO28" s="215"/>
      <c r="AP28" s="214"/>
      <c r="AQ28" s="215"/>
      <c r="AR28" s="214"/>
      <c r="AS28" s="215"/>
      <c r="AT28" s="214"/>
      <c r="AU28" s="215"/>
      <c r="AV28" s="214"/>
      <c r="AW28" s="319"/>
      <c r="AX28" s="214"/>
      <c r="AY28" s="215"/>
      <c r="AZ28" s="243">
        <f t="shared" si="0"/>
        <v>0</v>
      </c>
      <c r="BB28" s="277"/>
    </row>
    <row r="29" spans="1:238" s="79" customFormat="1">
      <c r="A29" s="392">
        <v>42867</v>
      </c>
      <c r="B29" s="280" t="s">
        <v>1079</v>
      </c>
      <c r="C29" s="284" t="s">
        <v>729</v>
      </c>
      <c r="D29" s="214"/>
      <c r="E29" s="215">
        <v>6135</v>
      </c>
      <c r="F29" s="214"/>
      <c r="G29" s="215"/>
      <c r="H29" s="214"/>
      <c r="I29" s="215"/>
      <c r="J29" s="214"/>
      <c r="K29" s="215"/>
      <c r="L29" s="214"/>
      <c r="M29" s="215"/>
      <c r="N29" s="214"/>
      <c r="O29" s="215"/>
      <c r="P29" s="214"/>
      <c r="Q29" s="215"/>
      <c r="R29" s="214"/>
      <c r="S29" s="215"/>
      <c r="T29" s="214"/>
      <c r="U29" s="215"/>
      <c r="V29" s="214"/>
      <c r="W29" s="215"/>
      <c r="X29" s="214"/>
      <c r="Y29" s="215"/>
      <c r="Z29" s="214">
        <v>6135</v>
      </c>
      <c r="AA29" s="319"/>
      <c r="AB29" s="214"/>
      <c r="AC29" s="320"/>
      <c r="AD29" s="214"/>
      <c r="AE29" s="215"/>
      <c r="AF29" s="214"/>
      <c r="AG29" s="215"/>
      <c r="AH29" s="214"/>
      <c r="AI29" s="215"/>
      <c r="AJ29" s="214"/>
      <c r="AK29" s="215"/>
      <c r="AL29" s="214"/>
      <c r="AM29" s="215"/>
      <c r="AN29" s="214"/>
      <c r="AO29" s="215"/>
      <c r="AP29" s="214"/>
      <c r="AQ29" s="215"/>
      <c r="AR29" s="214"/>
      <c r="AS29" s="215"/>
      <c r="AT29" s="214"/>
      <c r="AU29" s="215"/>
      <c r="AV29" s="214"/>
      <c r="AW29" s="319"/>
      <c r="AX29" s="214"/>
      <c r="AY29" s="215"/>
      <c r="AZ29" s="243">
        <f t="shared" si="0"/>
        <v>0</v>
      </c>
      <c r="BB29" s="277"/>
    </row>
    <row r="30" spans="1:238" s="79" customFormat="1">
      <c r="A30" s="392">
        <v>42877</v>
      </c>
      <c r="B30" s="280" t="s">
        <v>989</v>
      </c>
      <c r="C30" s="318" t="s">
        <v>730</v>
      </c>
      <c r="D30" s="214"/>
      <c r="E30" s="215">
        <v>2500</v>
      </c>
      <c r="F30" s="214"/>
      <c r="G30" s="215"/>
      <c r="H30" s="214"/>
      <c r="I30" s="215"/>
      <c r="J30" s="214"/>
      <c r="K30" s="215"/>
      <c r="L30" s="214"/>
      <c r="M30" s="215"/>
      <c r="N30" s="214"/>
      <c r="O30" s="215"/>
      <c r="P30" s="214"/>
      <c r="Q30" s="215"/>
      <c r="R30" s="214">
        <v>2500</v>
      </c>
      <c r="S30" s="215"/>
      <c r="T30" s="214"/>
      <c r="U30" s="215"/>
      <c r="V30" s="214"/>
      <c r="W30" s="215"/>
      <c r="X30" s="214"/>
      <c r="Y30" s="215"/>
      <c r="Z30" s="214"/>
      <c r="AA30" s="215"/>
      <c r="AB30" s="214"/>
      <c r="AC30" s="215"/>
      <c r="AD30" s="214"/>
      <c r="AE30" s="215"/>
      <c r="AF30" s="214"/>
      <c r="AG30" s="215"/>
      <c r="AH30" s="214"/>
      <c r="AI30" s="215"/>
      <c r="AJ30" s="214"/>
      <c r="AK30" s="215"/>
      <c r="AL30" s="214"/>
      <c r="AM30" s="215"/>
      <c r="AN30" s="214"/>
      <c r="AO30" s="215"/>
      <c r="AP30" s="214"/>
      <c r="AQ30" s="215"/>
      <c r="AR30" s="214"/>
      <c r="AS30" s="215"/>
      <c r="AT30" s="214"/>
      <c r="AU30" s="215"/>
      <c r="AV30" s="214"/>
      <c r="AW30" s="319"/>
      <c r="AX30" s="214"/>
      <c r="AY30" s="215"/>
      <c r="AZ30" s="243">
        <f t="shared" si="0"/>
        <v>0</v>
      </c>
    </row>
    <row r="31" spans="1:238" s="79" customFormat="1">
      <c r="A31" s="392">
        <v>42887</v>
      </c>
      <c r="B31" s="280" t="s">
        <v>1028</v>
      </c>
      <c r="C31" s="284" t="s">
        <v>731</v>
      </c>
      <c r="D31" s="214"/>
      <c r="E31" s="215">
        <v>45.75</v>
      </c>
      <c r="F31" s="214"/>
      <c r="G31" s="215"/>
      <c r="H31" s="214"/>
      <c r="I31" s="215"/>
      <c r="J31" s="214"/>
      <c r="K31" s="215"/>
      <c r="L31" s="214"/>
      <c r="M31" s="215"/>
      <c r="N31" s="214"/>
      <c r="O31" s="215"/>
      <c r="P31" s="214">
        <v>45.75</v>
      </c>
      <c r="Q31" s="215"/>
      <c r="R31" s="214"/>
      <c r="S31" s="215"/>
      <c r="T31" s="214"/>
      <c r="U31" s="215"/>
      <c r="V31" s="214"/>
      <c r="W31" s="215"/>
      <c r="X31" s="214"/>
      <c r="Y31" s="215"/>
      <c r="Z31" s="214"/>
      <c r="AA31" s="215"/>
      <c r="AB31" s="322"/>
      <c r="AC31" s="215"/>
      <c r="AD31" s="214"/>
      <c r="AE31" s="215"/>
      <c r="AF31" s="214"/>
      <c r="AG31" s="215"/>
      <c r="AH31" s="214"/>
      <c r="AI31" s="215"/>
      <c r="AJ31" s="214"/>
      <c r="AK31" s="215"/>
      <c r="AL31" s="214"/>
      <c r="AM31" s="215"/>
      <c r="AN31" s="214"/>
      <c r="AO31" s="215"/>
      <c r="AP31" s="214"/>
      <c r="AQ31" s="215"/>
      <c r="AR31" s="214"/>
      <c r="AS31" s="215"/>
      <c r="AT31" s="214"/>
      <c r="AU31" s="215"/>
      <c r="AV31" s="214"/>
      <c r="AW31" s="319"/>
      <c r="AX31" s="214"/>
      <c r="AY31" s="215"/>
      <c r="AZ31" s="243">
        <f t="shared" si="0"/>
        <v>0</v>
      </c>
      <c r="BB31" s="277"/>
    </row>
    <row r="32" spans="1:238" s="79" customFormat="1">
      <c r="A32" s="408">
        <v>42887</v>
      </c>
      <c r="B32" s="404" t="s">
        <v>1066</v>
      </c>
      <c r="C32" s="405" t="s">
        <v>731</v>
      </c>
      <c r="D32" s="406">
        <v>3300</v>
      </c>
      <c r="E32" s="407"/>
      <c r="F32" s="214"/>
      <c r="G32" s="215"/>
      <c r="H32" s="214"/>
      <c r="I32" s="215"/>
      <c r="J32" s="214"/>
      <c r="K32" s="215"/>
      <c r="L32" s="214"/>
      <c r="M32" s="215"/>
      <c r="N32" s="214"/>
      <c r="O32" s="215"/>
      <c r="P32" s="214"/>
      <c r="Q32" s="215"/>
      <c r="R32" s="214"/>
      <c r="S32" s="215"/>
      <c r="T32" s="214"/>
      <c r="U32" s="215"/>
      <c r="V32" s="214"/>
      <c r="W32" s="215"/>
      <c r="X32" s="214"/>
      <c r="Y32" s="215"/>
      <c r="Z32" s="214"/>
      <c r="AA32" s="215"/>
      <c r="AB32" s="214"/>
      <c r="AC32" s="215">
        <v>3300</v>
      </c>
      <c r="AD32" s="214"/>
      <c r="AE32" s="215"/>
      <c r="AF32" s="214"/>
      <c r="AG32" s="215"/>
      <c r="AH32" s="214"/>
      <c r="AI32" s="215"/>
      <c r="AJ32" s="214"/>
      <c r="AK32" s="215"/>
      <c r="AL32" s="214"/>
      <c r="AM32" s="215"/>
      <c r="AN32" s="214"/>
      <c r="AO32" s="215"/>
      <c r="AP32" s="214"/>
      <c r="AQ32" s="215"/>
      <c r="AR32" s="214"/>
      <c r="AS32" s="215"/>
      <c r="AT32" s="214"/>
      <c r="AU32" s="215"/>
      <c r="AV32" s="214"/>
      <c r="AW32" s="319"/>
      <c r="AX32" s="214"/>
      <c r="AY32" s="215"/>
      <c r="AZ32" s="243">
        <f t="shared" si="0"/>
        <v>0</v>
      </c>
    </row>
    <row r="33" spans="1:54" s="79" customFormat="1">
      <c r="A33" s="392">
        <v>42916</v>
      </c>
      <c r="B33" s="464" t="s">
        <v>1077</v>
      </c>
      <c r="C33" s="318" t="s">
        <v>732</v>
      </c>
      <c r="D33" s="214"/>
      <c r="E33" s="215">
        <v>126</v>
      </c>
      <c r="F33" s="214"/>
      <c r="G33" s="215"/>
      <c r="H33" s="214"/>
      <c r="I33" s="215"/>
      <c r="J33" s="214">
        <v>126</v>
      </c>
      <c r="K33" s="215"/>
      <c r="L33" s="214"/>
      <c r="M33" s="215"/>
      <c r="N33" s="214"/>
      <c r="O33" s="215"/>
      <c r="P33" s="214"/>
      <c r="Q33" s="215"/>
      <c r="R33" s="214"/>
      <c r="S33" s="215"/>
      <c r="T33" s="214"/>
      <c r="U33" s="215"/>
      <c r="V33" s="214"/>
      <c r="W33" s="215"/>
      <c r="X33" s="214"/>
      <c r="Y33" s="215"/>
      <c r="Z33" s="214"/>
      <c r="AA33" s="215"/>
      <c r="AB33" s="214"/>
      <c r="AC33" s="215"/>
      <c r="AD33" s="214"/>
      <c r="AE33" s="215"/>
      <c r="AF33" s="214"/>
      <c r="AG33" s="215"/>
      <c r="AH33" s="214"/>
      <c r="AI33" s="215"/>
      <c r="AJ33" s="214"/>
      <c r="AK33" s="215"/>
      <c r="AL33" s="214"/>
      <c r="AM33" s="215"/>
      <c r="AN33" s="214"/>
      <c r="AO33" s="215"/>
      <c r="AP33" s="214"/>
      <c r="AQ33" s="215"/>
      <c r="AR33" s="214"/>
      <c r="AS33" s="215"/>
      <c r="AT33" s="214"/>
      <c r="AU33" s="215"/>
      <c r="AV33" s="214"/>
      <c r="AW33" s="319"/>
      <c r="AX33" s="214"/>
      <c r="AY33" s="215"/>
      <c r="AZ33" s="243">
        <f t="shared" si="0"/>
        <v>0</v>
      </c>
      <c r="BB33" s="277"/>
    </row>
    <row r="34" spans="1:54" s="385" customFormat="1">
      <c r="A34" s="392">
        <v>42916</v>
      </c>
      <c r="B34" s="464" t="s">
        <v>1076</v>
      </c>
      <c r="C34" s="284" t="s">
        <v>733</v>
      </c>
      <c r="D34" s="214"/>
      <c r="E34" s="215">
        <v>911.38</v>
      </c>
      <c r="F34" s="214"/>
      <c r="G34" s="215"/>
      <c r="H34" s="214">
        <v>911.38</v>
      </c>
      <c r="I34" s="215"/>
      <c r="J34" s="214"/>
      <c r="K34" s="215"/>
      <c r="L34" s="214"/>
      <c r="M34" s="215"/>
      <c r="N34" s="214"/>
      <c r="O34" s="215"/>
      <c r="P34" s="214"/>
      <c r="Q34" s="215"/>
      <c r="R34" s="214"/>
      <c r="S34" s="215"/>
      <c r="T34" s="214"/>
      <c r="U34" s="215"/>
      <c r="V34" s="214"/>
      <c r="W34" s="215"/>
      <c r="X34" s="214"/>
      <c r="Y34" s="215"/>
      <c r="Z34" s="214"/>
      <c r="AA34" s="215"/>
      <c r="AB34" s="214"/>
      <c r="AC34" s="215"/>
      <c r="AD34" s="214"/>
      <c r="AE34" s="215"/>
      <c r="AF34" s="214"/>
      <c r="AG34" s="215"/>
      <c r="AH34" s="214"/>
      <c r="AI34" s="215"/>
      <c r="AJ34" s="214"/>
      <c r="AK34" s="215"/>
      <c r="AL34" s="214"/>
      <c r="AM34" s="215"/>
      <c r="AN34" s="214"/>
      <c r="AO34" s="215"/>
      <c r="AP34" s="214"/>
      <c r="AQ34" s="215"/>
      <c r="AR34" s="214"/>
      <c r="AS34" s="215"/>
      <c r="AT34" s="214"/>
      <c r="AU34" s="215"/>
      <c r="AV34" s="214"/>
      <c r="AW34" s="319"/>
      <c r="AX34" s="214"/>
      <c r="AY34" s="215"/>
      <c r="AZ34" s="384">
        <f t="shared" si="0"/>
        <v>0</v>
      </c>
    </row>
    <row r="35" spans="1:54" s="79" customFormat="1">
      <c r="A35" s="392">
        <v>42916</v>
      </c>
      <c r="B35" s="280" t="s">
        <v>1067</v>
      </c>
      <c r="C35" s="284" t="s">
        <v>734</v>
      </c>
      <c r="D35" s="214"/>
      <c r="E35" s="215">
        <v>1380</v>
      </c>
      <c r="F35" s="214"/>
      <c r="G35" s="215"/>
      <c r="H35" s="214"/>
      <c r="I35" s="215"/>
      <c r="J35" s="214"/>
      <c r="K35" s="215"/>
      <c r="L35" s="214">
        <v>1380</v>
      </c>
      <c r="M35" s="215"/>
      <c r="N35" s="214"/>
      <c r="O35" s="215"/>
      <c r="P35" s="214"/>
      <c r="Q35" s="215"/>
      <c r="R35" s="214"/>
      <c r="S35" s="215"/>
      <c r="T35" s="214"/>
      <c r="U35" s="215"/>
      <c r="V35" s="214"/>
      <c r="W35" s="215"/>
      <c r="X35" s="214"/>
      <c r="Y35" s="215"/>
      <c r="Z35" s="214"/>
      <c r="AA35" s="215"/>
      <c r="AB35" s="214"/>
      <c r="AC35" s="215"/>
      <c r="AD35" s="274"/>
      <c r="AE35" s="215"/>
      <c r="AF35" s="214"/>
      <c r="AG35" s="215"/>
      <c r="AH35" s="214"/>
      <c r="AI35" s="215"/>
      <c r="AJ35" s="214"/>
      <c r="AK35" s="215"/>
      <c r="AL35" s="214"/>
      <c r="AM35" s="215"/>
      <c r="AN35" s="214"/>
      <c r="AO35" s="215"/>
      <c r="AP35" s="214"/>
      <c r="AQ35" s="215"/>
      <c r="AR35" s="214"/>
      <c r="AS35" s="215"/>
      <c r="AT35" s="214"/>
      <c r="AU35" s="215"/>
      <c r="AV35" s="214"/>
      <c r="AW35" s="319"/>
      <c r="AX35" s="214"/>
      <c r="AY35" s="215"/>
      <c r="AZ35" s="243">
        <f t="shared" si="0"/>
        <v>0</v>
      </c>
    </row>
    <row r="36" spans="1:54" s="385" customFormat="1">
      <c r="A36" s="392">
        <v>42916</v>
      </c>
      <c r="B36" s="280" t="s">
        <v>1105</v>
      </c>
      <c r="C36" s="284" t="s">
        <v>735</v>
      </c>
      <c r="D36" s="214"/>
      <c r="E36" s="386">
        <v>2500</v>
      </c>
      <c r="F36" s="214"/>
      <c r="G36" s="215"/>
      <c r="H36" s="214"/>
      <c r="I36" s="215"/>
      <c r="J36" s="214"/>
      <c r="K36" s="215"/>
      <c r="L36" s="214"/>
      <c r="M36" s="215"/>
      <c r="N36" s="214"/>
      <c r="O36" s="215"/>
      <c r="P36" s="214"/>
      <c r="Q36" s="215"/>
      <c r="R36" s="214">
        <v>2500</v>
      </c>
      <c r="S36" s="215"/>
      <c r="T36" s="214"/>
      <c r="U36" s="215"/>
      <c r="V36" s="214"/>
      <c r="W36" s="215"/>
      <c r="X36" s="214"/>
      <c r="Y36" s="215"/>
      <c r="Z36" s="214"/>
      <c r="AA36" s="215"/>
      <c r="AB36" s="214"/>
      <c r="AC36" s="215"/>
      <c r="AD36" s="214"/>
      <c r="AE36" s="215"/>
      <c r="AF36" s="214"/>
      <c r="AG36" s="215"/>
      <c r="AH36" s="214"/>
      <c r="AI36" s="215"/>
      <c r="AJ36" s="214"/>
      <c r="AK36" s="215"/>
      <c r="AL36" s="214"/>
      <c r="AM36" s="215"/>
      <c r="AN36" s="214"/>
      <c r="AO36" s="215"/>
      <c r="AP36" s="214"/>
      <c r="AQ36" s="215"/>
      <c r="AR36" s="214"/>
      <c r="AS36" s="215"/>
      <c r="AT36" s="214"/>
      <c r="AU36" s="215"/>
      <c r="AV36" s="214"/>
      <c r="AW36" s="319"/>
      <c r="AX36" s="214"/>
      <c r="AY36" s="215"/>
      <c r="AZ36" s="384">
        <f t="shared" si="0"/>
        <v>0</v>
      </c>
    </row>
    <row r="37" spans="1:54" s="79" customFormat="1">
      <c r="A37" s="392">
        <v>42916</v>
      </c>
      <c r="B37" s="280" t="s">
        <v>1078</v>
      </c>
      <c r="C37" s="284" t="s">
        <v>736</v>
      </c>
      <c r="D37" s="214"/>
      <c r="E37" s="215">
        <v>3885.4</v>
      </c>
      <c r="F37" s="214"/>
      <c r="G37" s="215"/>
      <c r="H37" s="214"/>
      <c r="I37" s="215"/>
      <c r="J37" s="214">
        <v>3885.4</v>
      </c>
      <c r="K37" s="215"/>
      <c r="L37" s="214"/>
      <c r="M37" s="215"/>
      <c r="N37" s="214"/>
      <c r="O37" s="215"/>
      <c r="P37" s="362"/>
      <c r="Q37" s="215"/>
      <c r="R37" s="214"/>
      <c r="S37" s="215"/>
      <c r="T37" s="214"/>
      <c r="U37" s="215"/>
      <c r="V37" s="214"/>
      <c r="W37" s="215"/>
      <c r="X37" s="214"/>
      <c r="Y37" s="215"/>
      <c r="Z37" s="214"/>
      <c r="AA37" s="215"/>
      <c r="AB37" s="214"/>
      <c r="AC37" s="215"/>
      <c r="AD37" s="214"/>
      <c r="AE37" s="215"/>
      <c r="AF37" s="214"/>
      <c r="AG37" s="215"/>
      <c r="AH37" s="214"/>
      <c r="AI37" s="215"/>
      <c r="AJ37" s="214"/>
      <c r="AK37" s="215"/>
      <c r="AL37" s="214"/>
      <c r="AM37" s="215"/>
      <c r="AN37" s="214"/>
      <c r="AO37" s="215"/>
      <c r="AP37" s="214"/>
      <c r="AQ37" s="215"/>
      <c r="AR37" s="214"/>
      <c r="AS37" s="215"/>
      <c r="AT37" s="214"/>
      <c r="AU37" s="215"/>
      <c r="AV37" s="214"/>
      <c r="AW37" s="319"/>
      <c r="AX37" s="214"/>
      <c r="AY37" s="215"/>
      <c r="AZ37" s="243">
        <f t="shared" si="0"/>
        <v>0</v>
      </c>
    </row>
    <row r="38" spans="1:54" s="79" customFormat="1">
      <c r="A38" s="392">
        <v>42919</v>
      </c>
      <c r="B38" s="280" t="s">
        <v>1028</v>
      </c>
      <c r="C38" s="284" t="s">
        <v>737</v>
      </c>
      <c r="D38" s="406"/>
      <c r="E38" s="323">
        <v>100.5</v>
      </c>
      <c r="F38" s="214"/>
      <c r="G38" s="215"/>
      <c r="H38" s="214"/>
      <c r="I38" s="215"/>
      <c r="J38" s="214"/>
      <c r="K38" s="215"/>
      <c r="L38" s="214"/>
      <c r="M38" s="215"/>
      <c r="N38" s="214"/>
      <c r="O38" s="215"/>
      <c r="P38" s="362">
        <v>100.5</v>
      </c>
      <c r="Q38" s="215"/>
      <c r="R38" s="214"/>
      <c r="S38" s="215"/>
      <c r="T38" s="214"/>
      <c r="U38" s="215"/>
      <c r="V38" s="214"/>
      <c r="W38" s="215"/>
      <c r="X38" s="214"/>
      <c r="Y38" s="215"/>
      <c r="Z38" s="214"/>
      <c r="AA38" s="215"/>
      <c r="AB38" s="214"/>
      <c r="AC38" s="215"/>
      <c r="AD38" s="214"/>
      <c r="AE38" s="215"/>
      <c r="AF38" s="214"/>
      <c r="AG38" s="215"/>
      <c r="AH38" s="214"/>
      <c r="AI38" s="215"/>
      <c r="AJ38" s="214"/>
      <c r="AK38" s="215"/>
      <c r="AL38" s="214"/>
      <c r="AM38" s="215"/>
      <c r="AN38" s="214"/>
      <c r="AO38" s="215"/>
      <c r="AP38" s="214"/>
      <c r="AQ38" s="215"/>
      <c r="AR38" s="214"/>
      <c r="AS38" s="215"/>
      <c r="AT38" s="214"/>
      <c r="AU38" s="215"/>
      <c r="AV38" s="214"/>
      <c r="AW38" s="319"/>
      <c r="AX38" s="214"/>
      <c r="AY38" s="215"/>
      <c r="AZ38" s="243">
        <f t="shared" si="0"/>
        <v>0</v>
      </c>
    </row>
    <row r="39" spans="1:54" s="79" customFormat="1">
      <c r="A39" s="392">
        <v>42919</v>
      </c>
      <c r="B39" s="280" t="s">
        <v>1104</v>
      </c>
      <c r="C39" s="284" t="s">
        <v>737</v>
      </c>
      <c r="D39" s="214">
        <v>2500</v>
      </c>
      <c r="E39" s="215"/>
      <c r="F39" s="214"/>
      <c r="G39" s="215"/>
      <c r="H39" s="214"/>
      <c r="I39" s="215"/>
      <c r="J39" s="214"/>
      <c r="K39" s="215"/>
      <c r="L39" s="214"/>
      <c r="M39" s="215"/>
      <c r="N39" s="214"/>
      <c r="O39" s="215"/>
      <c r="P39" s="362"/>
      <c r="Q39" s="215"/>
      <c r="R39" s="214"/>
      <c r="S39" s="215">
        <v>2500</v>
      </c>
      <c r="T39" s="214"/>
      <c r="U39" s="215"/>
      <c r="V39" s="214"/>
      <c r="W39" s="215"/>
      <c r="X39" s="214"/>
      <c r="Y39" s="215"/>
      <c r="Z39" s="214"/>
      <c r="AA39" s="215"/>
      <c r="AB39" s="214"/>
      <c r="AC39" s="215"/>
      <c r="AD39" s="214"/>
      <c r="AE39" s="215"/>
      <c r="AF39" s="214"/>
      <c r="AG39" s="215"/>
      <c r="AH39" s="214"/>
      <c r="AI39" s="215"/>
      <c r="AJ39" s="214"/>
      <c r="AK39" s="215"/>
      <c r="AL39" s="214"/>
      <c r="AM39" s="215"/>
      <c r="AN39" s="214"/>
      <c r="AO39" s="215"/>
      <c r="AP39" s="214"/>
      <c r="AQ39" s="215"/>
      <c r="AR39" s="214"/>
      <c r="AS39" s="215"/>
      <c r="AT39" s="214"/>
      <c r="AU39" s="215"/>
      <c r="AV39" s="214"/>
      <c r="AW39" s="319"/>
      <c r="AX39" s="214"/>
      <c r="AY39" s="215"/>
      <c r="AZ39" s="243">
        <f t="shared" si="0"/>
        <v>0</v>
      </c>
      <c r="BB39" s="277"/>
    </row>
    <row r="40" spans="1:54" s="385" customFormat="1">
      <c r="A40" s="408">
        <v>42934</v>
      </c>
      <c r="B40" s="404" t="s">
        <v>1061</v>
      </c>
      <c r="C40" s="405" t="s">
        <v>737</v>
      </c>
      <c r="D40" s="406">
        <v>600</v>
      </c>
      <c r="E40" s="215"/>
      <c r="F40" s="214"/>
      <c r="G40" s="215"/>
      <c r="H40" s="214"/>
      <c r="I40" s="215"/>
      <c r="J40" s="214"/>
      <c r="K40" s="215"/>
      <c r="L40" s="214"/>
      <c r="M40" s="215"/>
      <c r="N40" s="214"/>
      <c r="O40" s="215"/>
      <c r="P40" s="214"/>
      <c r="Q40" s="215"/>
      <c r="R40" s="214"/>
      <c r="S40" s="215"/>
      <c r="T40" s="214"/>
      <c r="U40" s="215"/>
      <c r="V40" s="214"/>
      <c r="W40" s="215"/>
      <c r="X40" s="214"/>
      <c r="Y40" s="215"/>
      <c r="Z40" s="214"/>
      <c r="AA40" s="215"/>
      <c r="AB40" s="214"/>
      <c r="AC40" s="215">
        <v>600</v>
      </c>
      <c r="AD40" s="214"/>
      <c r="AE40" s="215"/>
      <c r="AF40" s="214"/>
      <c r="AG40" s="215"/>
      <c r="AH40" s="214"/>
      <c r="AI40" s="215"/>
      <c r="AJ40" s="214"/>
      <c r="AK40" s="215"/>
      <c r="AL40" s="214"/>
      <c r="AM40" s="215"/>
      <c r="AN40" s="214"/>
      <c r="AO40" s="215"/>
      <c r="AP40" s="214"/>
      <c r="AQ40" s="215"/>
      <c r="AR40" s="214"/>
      <c r="AS40" s="215"/>
      <c r="AT40" s="214"/>
      <c r="AU40" s="215"/>
      <c r="AV40" s="214"/>
      <c r="AW40" s="319"/>
      <c r="AX40" s="214"/>
      <c r="AY40" s="215"/>
      <c r="AZ40" s="384">
        <f t="shared" si="0"/>
        <v>0</v>
      </c>
    </row>
    <row r="41" spans="1:54" s="79" customFormat="1">
      <c r="A41" s="392">
        <v>42949</v>
      </c>
      <c r="B41" s="280" t="s">
        <v>1028</v>
      </c>
      <c r="C41" s="284" t="s">
        <v>738</v>
      </c>
      <c r="D41" s="214"/>
      <c r="E41" s="215">
        <v>80</v>
      </c>
      <c r="F41" s="214"/>
      <c r="G41" s="215"/>
      <c r="H41" s="214"/>
      <c r="I41" s="215"/>
      <c r="J41" s="214"/>
      <c r="K41" s="215"/>
      <c r="L41" s="214"/>
      <c r="M41" s="215"/>
      <c r="N41" s="214"/>
      <c r="O41" s="215"/>
      <c r="P41" s="362">
        <v>80</v>
      </c>
      <c r="Q41" s="215"/>
      <c r="R41" s="214"/>
      <c r="S41" s="215"/>
      <c r="T41" s="214"/>
      <c r="U41" s="215"/>
      <c r="V41" s="214"/>
      <c r="W41" s="215"/>
      <c r="X41" s="214"/>
      <c r="Y41" s="215"/>
      <c r="Z41" s="214"/>
      <c r="AA41" s="215"/>
      <c r="AB41" s="214"/>
      <c r="AC41" s="215"/>
      <c r="AD41" s="214"/>
      <c r="AE41" s="215"/>
      <c r="AF41" s="214"/>
      <c r="AG41" s="215"/>
      <c r="AH41" s="214"/>
      <c r="AI41" s="215"/>
      <c r="AJ41" s="214"/>
      <c r="AK41" s="215"/>
      <c r="AL41" s="214"/>
      <c r="AM41" s="215"/>
      <c r="AN41" s="214"/>
      <c r="AO41" s="215"/>
      <c r="AP41" s="214"/>
      <c r="AQ41" s="215"/>
      <c r="AR41" s="214"/>
      <c r="AS41" s="215"/>
      <c r="AT41" s="214"/>
      <c r="AU41" s="215"/>
      <c r="AV41" s="214"/>
      <c r="AW41" s="319"/>
      <c r="AX41" s="214"/>
      <c r="AY41" s="215"/>
      <c r="AZ41" s="243">
        <f t="shared" si="0"/>
        <v>0</v>
      </c>
    </row>
    <row r="42" spans="1:54" s="79" customFormat="1">
      <c r="A42" s="408">
        <v>42964</v>
      </c>
      <c r="B42" s="404" t="s">
        <v>1068</v>
      </c>
      <c r="C42" s="405" t="s">
        <v>738</v>
      </c>
      <c r="D42" s="406">
        <v>300</v>
      </c>
      <c r="E42" s="407"/>
      <c r="F42" s="214"/>
      <c r="G42" s="215"/>
      <c r="H42" s="214"/>
      <c r="I42" s="215"/>
      <c r="J42" s="214"/>
      <c r="K42" s="215"/>
      <c r="L42" s="214"/>
      <c r="M42" s="215"/>
      <c r="N42" s="214"/>
      <c r="O42" s="215"/>
      <c r="P42" s="214"/>
      <c r="Q42" s="215"/>
      <c r="R42" s="214"/>
      <c r="S42" s="215"/>
      <c r="T42" s="214"/>
      <c r="U42" s="215"/>
      <c r="V42" s="214"/>
      <c r="W42" s="215"/>
      <c r="X42" s="214"/>
      <c r="Y42" s="215"/>
      <c r="Z42" s="214"/>
      <c r="AA42" s="215"/>
      <c r="AB42" s="214"/>
      <c r="AC42" s="215">
        <v>300</v>
      </c>
      <c r="AD42" s="214"/>
      <c r="AE42" s="215"/>
      <c r="AF42" s="214"/>
      <c r="AG42" s="215"/>
      <c r="AH42" s="214"/>
      <c r="AI42" s="215"/>
      <c r="AJ42" s="214"/>
      <c r="AK42" s="215"/>
      <c r="AL42" s="214"/>
      <c r="AM42" s="215"/>
      <c r="AN42" s="214"/>
      <c r="AO42" s="215"/>
      <c r="AP42" s="214"/>
      <c r="AQ42" s="215"/>
      <c r="AR42" s="214"/>
      <c r="AS42" s="215"/>
      <c r="AT42" s="214"/>
      <c r="AU42" s="215"/>
      <c r="AV42" s="214"/>
      <c r="AW42" s="319"/>
      <c r="AX42" s="214"/>
      <c r="AY42" s="215"/>
      <c r="AZ42" s="243">
        <f t="shared" si="0"/>
        <v>0</v>
      </c>
    </row>
    <row r="43" spans="1:54" s="79" customFormat="1">
      <c r="A43" s="392">
        <v>42968</v>
      </c>
      <c r="B43" s="280" t="s">
        <v>1073</v>
      </c>
      <c r="C43" s="284" t="s">
        <v>739</v>
      </c>
      <c r="D43" s="214"/>
      <c r="E43" s="215">
        <v>1067</v>
      </c>
      <c r="F43" s="214"/>
      <c r="G43" s="215"/>
      <c r="H43" s="214"/>
      <c r="I43" s="215"/>
      <c r="J43" s="214"/>
      <c r="K43" s="215"/>
      <c r="L43" s="214"/>
      <c r="M43" s="215"/>
      <c r="N43" s="214"/>
      <c r="O43" s="215"/>
      <c r="P43" s="214">
        <v>1067</v>
      </c>
      <c r="Q43" s="215"/>
      <c r="R43" s="214"/>
      <c r="S43" s="215"/>
      <c r="T43" s="214"/>
      <c r="U43" s="215"/>
      <c r="V43" s="214"/>
      <c r="W43" s="215"/>
      <c r="X43" s="214"/>
      <c r="Y43" s="215"/>
      <c r="Z43" s="214"/>
      <c r="AA43" s="215"/>
      <c r="AB43" s="214"/>
      <c r="AC43" s="215"/>
      <c r="AD43" s="214"/>
      <c r="AE43" s="215"/>
      <c r="AF43" s="214"/>
      <c r="AG43" s="215"/>
      <c r="AH43" s="214"/>
      <c r="AI43" s="215"/>
      <c r="AJ43" s="214"/>
      <c r="AK43" s="215"/>
      <c r="AL43" s="214"/>
      <c r="AM43" s="215"/>
      <c r="AN43" s="214"/>
      <c r="AO43" s="215"/>
      <c r="AP43" s="214"/>
      <c r="AQ43" s="215"/>
      <c r="AR43" s="214"/>
      <c r="AS43" s="215"/>
      <c r="AT43" s="214"/>
      <c r="AU43" s="215"/>
      <c r="AV43" s="214"/>
      <c r="AW43" s="319"/>
      <c r="AX43" s="214"/>
      <c r="AY43" s="215"/>
      <c r="AZ43" s="243">
        <f t="shared" si="0"/>
        <v>0</v>
      </c>
    </row>
    <row r="44" spans="1:54" s="79" customFormat="1">
      <c r="A44" s="392">
        <v>42979</v>
      </c>
      <c r="B44" s="280" t="s">
        <v>1028</v>
      </c>
      <c r="C44" s="284" t="s">
        <v>740</v>
      </c>
      <c r="D44" s="214"/>
      <c r="E44" s="215">
        <v>81.25</v>
      </c>
      <c r="F44" s="214"/>
      <c r="G44" s="215"/>
      <c r="H44" s="214"/>
      <c r="I44" s="215"/>
      <c r="J44" s="214"/>
      <c r="K44" s="215"/>
      <c r="L44" s="214"/>
      <c r="M44" s="215"/>
      <c r="N44" s="214"/>
      <c r="O44" s="215"/>
      <c r="P44" s="214">
        <v>81.25</v>
      </c>
      <c r="Q44" s="215"/>
      <c r="R44" s="214"/>
      <c r="S44" s="215"/>
      <c r="T44" s="214"/>
      <c r="U44" s="215"/>
      <c r="V44" s="214"/>
      <c r="W44" s="215"/>
      <c r="X44" s="214"/>
      <c r="Y44" s="215"/>
      <c r="Z44" s="214"/>
      <c r="AA44" s="215"/>
      <c r="AB44" s="214"/>
      <c r="AC44" s="215"/>
      <c r="AD44" s="214"/>
      <c r="AE44" s="215"/>
      <c r="AF44" s="214"/>
      <c r="AG44" s="215"/>
      <c r="AH44" s="214"/>
      <c r="AI44" s="215"/>
      <c r="AJ44" s="214"/>
      <c r="AK44" s="215"/>
      <c r="AL44" s="214"/>
      <c r="AM44" s="215"/>
      <c r="AN44" s="214"/>
      <c r="AO44" s="215"/>
      <c r="AP44" s="214"/>
      <c r="AQ44" s="215"/>
      <c r="AR44" s="214"/>
      <c r="AS44" s="215"/>
      <c r="AT44" s="214"/>
      <c r="AU44" s="215"/>
      <c r="AV44" s="214"/>
      <c r="AW44" s="319"/>
      <c r="AX44" s="214"/>
      <c r="AY44" s="215"/>
      <c r="AZ44" s="243">
        <f t="shared" si="0"/>
        <v>0</v>
      </c>
    </row>
    <row r="45" spans="1:54" s="79" customFormat="1">
      <c r="A45" s="465">
        <v>42999</v>
      </c>
      <c r="B45" s="280" t="s">
        <v>1106</v>
      </c>
      <c r="C45" s="284" t="s">
        <v>740</v>
      </c>
      <c r="D45" s="362"/>
      <c r="E45" s="363">
        <v>5000</v>
      </c>
      <c r="F45" s="362">
        <v>5000</v>
      </c>
      <c r="G45" s="363"/>
      <c r="H45" s="362"/>
      <c r="I45" s="363"/>
      <c r="J45" s="362"/>
      <c r="K45" s="363"/>
      <c r="L45" s="362"/>
      <c r="M45" s="363"/>
      <c r="N45" s="362"/>
      <c r="O45" s="363"/>
      <c r="P45" s="362"/>
      <c r="Q45" s="363"/>
      <c r="R45" s="362"/>
      <c r="S45" s="363"/>
      <c r="T45" s="362"/>
      <c r="U45" s="363"/>
      <c r="V45" s="362"/>
      <c r="W45" s="363"/>
      <c r="X45" s="362"/>
      <c r="Y45" s="363"/>
      <c r="Z45" s="362"/>
      <c r="AA45" s="363"/>
      <c r="AB45" s="362"/>
      <c r="AC45" s="363"/>
      <c r="AD45" s="362"/>
      <c r="AE45" s="363"/>
      <c r="AF45" s="362"/>
      <c r="AG45" s="363"/>
      <c r="AH45" s="362"/>
      <c r="AI45" s="363"/>
      <c r="AJ45" s="362"/>
      <c r="AK45" s="363"/>
      <c r="AL45" s="362"/>
      <c r="AM45" s="363"/>
      <c r="AN45" s="362"/>
      <c r="AO45" s="363"/>
      <c r="AP45" s="362"/>
      <c r="AQ45" s="363"/>
      <c r="AR45" s="362"/>
      <c r="AS45" s="363"/>
      <c r="AT45" s="362"/>
      <c r="AU45" s="215"/>
      <c r="AV45" s="214"/>
      <c r="AW45" s="319"/>
      <c r="AX45" s="214"/>
      <c r="AY45" s="215"/>
      <c r="AZ45" s="243">
        <f t="shared" si="0"/>
        <v>0</v>
      </c>
    </row>
    <row r="46" spans="1:54" s="79" customFormat="1">
      <c r="A46" s="392">
        <v>42999</v>
      </c>
      <c r="B46" s="280" t="s">
        <v>1069</v>
      </c>
      <c r="C46" s="284" t="s">
        <v>741</v>
      </c>
      <c r="D46" s="214"/>
      <c r="E46" s="215">
        <v>5000</v>
      </c>
      <c r="F46" s="214"/>
      <c r="G46" s="215"/>
      <c r="H46" s="214"/>
      <c r="I46" s="215"/>
      <c r="J46" s="214"/>
      <c r="K46" s="215"/>
      <c r="L46" s="214"/>
      <c r="M46" s="215"/>
      <c r="N46" s="214"/>
      <c r="O46" s="215"/>
      <c r="P46" s="214"/>
      <c r="Q46" s="215"/>
      <c r="R46" s="214"/>
      <c r="S46" s="215"/>
      <c r="T46" s="214"/>
      <c r="U46" s="215"/>
      <c r="V46" s="214"/>
      <c r="W46" s="215"/>
      <c r="X46" s="362"/>
      <c r="Y46" s="363"/>
      <c r="Z46" s="362">
        <v>5000</v>
      </c>
      <c r="AA46" s="215"/>
      <c r="AB46" s="214"/>
      <c r="AC46" s="215"/>
      <c r="AD46" s="214"/>
      <c r="AE46" s="215"/>
      <c r="AF46" s="214"/>
      <c r="AG46" s="215"/>
      <c r="AH46" s="214"/>
      <c r="AI46" s="215"/>
      <c r="AJ46" s="214"/>
      <c r="AK46" s="215"/>
      <c r="AL46" s="214"/>
      <c r="AM46" s="215"/>
      <c r="AN46" s="214"/>
      <c r="AO46" s="215"/>
      <c r="AP46" s="214"/>
      <c r="AQ46" s="215"/>
      <c r="AR46" s="214"/>
      <c r="AS46" s="215"/>
      <c r="AT46" s="214"/>
      <c r="AU46" s="215"/>
      <c r="AV46" s="214"/>
      <c r="AW46" s="319"/>
      <c r="AX46" s="214"/>
      <c r="AY46" s="215"/>
      <c r="AZ46" s="243">
        <f t="shared" si="0"/>
        <v>0</v>
      </c>
      <c r="BB46" s="277"/>
    </row>
    <row r="47" spans="1:54" s="79" customFormat="1">
      <c r="A47" s="392">
        <v>43010</v>
      </c>
      <c r="B47" s="280" t="s">
        <v>1028</v>
      </c>
      <c r="C47" s="284" t="s">
        <v>742</v>
      </c>
      <c r="D47" s="214"/>
      <c r="E47" s="215">
        <v>89</v>
      </c>
      <c r="F47" s="214"/>
      <c r="G47" s="215"/>
      <c r="H47" s="214"/>
      <c r="I47" s="215"/>
      <c r="J47" s="214"/>
      <c r="K47" s="323"/>
      <c r="L47" s="214"/>
      <c r="M47" s="215"/>
      <c r="N47" s="214"/>
      <c r="O47" s="215"/>
      <c r="P47" s="214">
        <v>89</v>
      </c>
      <c r="Q47" s="215"/>
      <c r="R47" s="214"/>
      <c r="S47" s="215"/>
      <c r="T47" s="214"/>
      <c r="U47" s="215"/>
      <c r="V47" s="214"/>
      <c r="W47" s="215"/>
      <c r="X47" s="362"/>
      <c r="Y47" s="363"/>
      <c r="Z47" s="362"/>
      <c r="AA47" s="215"/>
      <c r="AB47" s="214"/>
      <c r="AC47" s="215"/>
      <c r="AD47" s="214"/>
      <c r="AE47" s="215"/>
      <c r="AF47" s="214"/>
      <c r="AG47" s="215"/>
      <c r="AH47" s="214"/>
      <c r="AI47" s="215"/>
      <c r="AJ47" s="214"/>
      <c r="AK47" s="215"/>
      <c r="AL47" s="214"/>
      <c r="AM47" s="215"/>
      <c r="AN47" s="214"/>
      <c r="AO47" s="215"/>
      <c r="AP47" s="214"/>
      <c r="AQ47" s="215"/>
      <c r="AR47" s="214"/>
      <c r="AS47" s="215"/>
      <c r="AT47" s="214"/>
      <c r="AU47" s="215"/>
      <c r="AV47" s="214"/>
      <c r="AW47" s="319"/>
      <c r="AX47" s="214"/>
      <c r="AY47" s="215"/>
      <c r="AZ47" s="243">
        <f t="shared" si="0"/>
        <v>0</v>
      </c>
    </row>
    <row r="48" spans="1:54" s="79" customFormat="1">
      <c r="A48" s="369">
        <v>43024</v>
      </c>
      <c r="B48" s="280" t="s">
        <v>1074</v>
      </c>
      <c r="C48" s="284" t="s">
        <v>743</v>
      </c>
      <c r="D48" s="214"/>
      <c r="E48" s="215">
        <v>350</v>
      </c>
      <c r="F48" s="214"/>
      <c r="G48" s="215"/>
      <c r="H48" s="214">
        <v>350</v>
      </c>
      <c r="I48" s="215"/>
      <c r="J48" s="214"/>
      <c r="K48" s="215"/>
      <c r="L48" s="214"/>
      <c r="M48" s="215"/>
      <c r="N48" s="214"/>
      <c r="O48" s="215"/>
      <c r="P48" s="214"/>
      <c r="Q48" s="215"/>
      <c r="R48" s="214"/>
      <c r="S48" s="215"/>
      <c r="T48" s="214"/>
      <c r="U48" s="215"/>
      <c r="V48" s="214"/>
      <c r="W48" s="215"/>
      <c r="X48" s="362"/>
      <c r="Y48" s="363"/>
      <c r="Z48" s="362"/>
      <c r="AA48" s="215"/>
      <c r="AB48" s="214"/>
      <c r="AC48" s="215"/>
      <c r="AD48" s="214"/>
      <c r="AE48" s="215"/>
      <c r="AF48" s="214"/>
      <c r="AG48" s="215"/>
      <c r="AH48" s="214"/>
      <c r="AI48" s="215"/>
      <c r="AJ48" s="214"/>
      <c r="AK48" s="215"/>
      <c r="AL48" s="214"/>
      <c r="AM48" s="215"/>
      <c r="AN48" s="214"/>
      <c r="AO48" s="215"/>
      <c r="AP48" s="214"/>
      <c r="AQ48" s="215"/>
      <c r="AR48" s="214"/>
      <c r="AS48" s="215"/>
      <c r="AT48" s="214"/>
      <c r="AU48" s="215"/>
      <c r="AV48" s="214"/>
      <c r="AW48" s="319"/>
      <c r="AX48" s="214"/>
      <c r="AY48" s="215"/>
      <c r="AZ48" s="243">
        <f t="shared" si="0"/>
        <v>0</v>
      </c>
    </row>
    <row r="49" spans="1:53" s="79" customFormat="1">
      <c r="A49" s="403">
        <v>43028</v>
      </c>
      <c r="B49" s="404" t="s">
        <v>1070</v>
      </c>
      <c r="C49" s="405" t="s">
        <v>742</v>
      </c>
      <c r="D49" s="406">
        <v>4494.75</v>
      </c>
      <c r="E49" s="215"/>
      <c r="F49" s="214"/>
      <c r="G49" s="215"/>
      <c r="H49" s="214"/>
      <c r="I49" s="215"/>
      <c r="J49" s="214"/>
      <c r="K49" s="215"/>
      <c r="L49" s="214"/>
      <c r="M49" s="215"/>
      <c r="N49" s="214"/>
      <c r="O49" s="215"/>
      <c r="P49" s="214"/>
      <c r="Q49" s="215"/>
      <c r="R49" s="214"/>
      <c r="S49" s="215"/>
      <c r="T49" s="214"/>
      <c r="U49" s="215"/>
      <c r="V49" s="214"/>
      <c r="W49" s="215"/>
      <c r="X49" s="362"/>
      <c r="Y49" s="363"/>
      <c r="Z49" s="362"/>
      <c r="AA49" s="215"/>
      <c r="AB49" s="214"/>
      <c r="AC49" s="215">
        <v>4494.75</v>
      </c>
      <c r="AD49" s="214"/>
      <c r="AE49" s="215"/>
      <c r="AF49" s="214"/>
      <c r="AG49" s="215"/>
      <c r="AH49" s="214"/>
      <c r="AI49" s="215"/>
      <c r="AJ49" s="214"/>
      <c r="AK49" s="215"/>
      <c r="AL49" s="214"/>
      <c r="AM49" s="215"/>
      <c r="AN49" s="214"/>
      <c r="AO49" s="215"/>
      <c r="AP49" s="214"/>
      <c r="AQ49" s="215"/>
      <c r="AR49" s="214"/>
      <c r="AS49" s="215"/>
      <c r="AT49" s="214"/>
      <c r="AU49" s="215"/>
      <c r="AV49" s="214"/>
      <c r="AW49" s="319"/>
      <c r="AX49" s="321"/>
      <c r="AY49" s="215"/>
      <c r="AZ49" s="243">
        <f t="shared" si="0"/>
        <v>0</v>
      </c>
    </row>
    <row r="50" spans="1:53" s="79" customFormat="1">
      <c r="A50" s="234">
        <v>43040</v>
      </c>
      <c r="B50" s="280" t="s">
        <v>1028</v>
      </c>
      <c r="C50" s="284" t="s">
        <v>744</v>
      </c>
      <c r="D50" s="214"/>
      <c r="E50" s="215">
        <v>81.25</v>
      </c>
      <c r="F50" s="214"/>
      <c r="G50" s="215"/>
      <c r="H50" s="214"/>
      <c r="I50" s="215"/>
      <c r="J50" s="214"/>
      <c r="K50" s="215"/>
      <c r="L50" s="214"/>
      <c r="M50" s="215"/>
      <c r="N50" s="214"/>
      <c r="O50" s="215"/>
      <c r="P50" s="214">
        <v>81.25</v>
      </c>
      <c r="Q50" s="215"/>
      <c r="R50" s="214"/>
      <c r="S50" s="215"/>
      <c r="T50" s="214"/>
      <c r="U50" s="215"/>
      <c r="V50" s="214"/>
      <c r="W50" s="215"/>
      <c r="X50" s="362"/>
      <c r="Y50" s="363"/>
      <c r="Z50" s="362"/>
      <c r="AA50" s="215"/>
      <c r="AB50" s="214"/>
      <c r="AC50" s="215"/>
      <c r="AD50" s="214"/>
      <c r="AE50" s="215"/>
      <c r="AF50" s="214"/>
      <c r="AG50" s="215"/>
      <c r="AH50" s="214"/>
      <c r="AI50" s="215"/>
      <c r="AJ50" s="214"/>
      <c r="AK50" s="215"/>
      <c r="AL50" s="214"/>
      <c r="AM50" s="215"/>
      <c r="AN50" s="214"/>
      <c r="AO50" s="215"/>
      <c r="AP50" s="214"/>
      <c r="AQ50" s="215"/>
      <c r="AR50" s="214"/>
      <c r="AS50" s="215"/>
      <c r="AT50" s="214"/>
      <c r="AU50" s="215"/>
      <c r="AV50" s="214"/>
      <c r="AW50" s="319"/>
      <c r="AX50" s="214"/>
      <c r="AY50" s="215"/>
      <c r="AZ50" s="243">
        <f t="shared" si="0"/>
        <v>0</v>
      </c>
    </row>
    <row r="51" spans="1:53" s="79" customFormat="1">
      <c r="A51" s="403">
        <v>43040</v>
      </c>
      <c r="B51" s="404" t="s">
        <v>1071</v>
      </c>
      <c r="C51" s="284" t="s">
        <v>744</v>
      </c>
      <c r="D51" s="406">
        <v>2090.37</v>
      </c>
      <c r="E51" s="215"/>
      <c r="F51" s="214"/>
      <c r="G51" s="215"/>
      <c r="H51" s="214"/>
      <c r="I51" s="215"/>
      <c r="J51" s="214"/>
      <c r="K51" s="215"/>
      <c r="L51" s="214"/>
      <c r="M51" s="215"/>
      <c r="N51" s="214"/>
      <c r="O51" s="215"/>
      <c r="P51" s="214"/>
      <c r="Q51" s="215"/>
      <c r="R51" s="214"/>
      <c r="S51" s="215"/>
      <c r="T51" s="214"/>
      <c r="U51" s="215"/>
      <c r="V51" s="214"/>
      <c r="W51" s="215"/>
      <c r="X51" s="214"/>
      <c r="Y51" s="215"/>
      <c r="Z51" s="214"/>
      <c r="AA51" s="215"/>
      <c r="AB51" s="214"/>
      <c r="AC51" s="215">
        <v>2090.37</v>
      </c>
      <c r="AD51" s="214"/>
      <c r="AE51" s="215"/>
      <c r="AF51" s="214"/>
      <c r="AG51" s="215"/>
      <c r="AH51" s="214"/>
      <c r="AI51" s="215"/>
      <c r="AJ51" s="214"/>
      <c r="AK51" s="215"/>
      <c r="AL51" s="214"/>
      <c r="AM51" s="215"/>
      <c r="AN51" s="214"/>
      <c r="AO51" s="215"/>
      <c r="AP51" s="214"/>
      <c r="AQ51" s="215"/>
      <c r="AR51" s="214"/>
      <c r="AS51" s="215"/>
      <c r="AT51" s="214"/>
      <c r="AU51" s="215"/>
      <c r="AV51" s="214"/>
      <c r="AW51" s="319"/>
      <c r="AX51" s="322"/>
      <c r="AY51" s="215"/>
      <c r="AZ51" s="243">
        <f t="shared" si="0"/>
        <v>0</v>
      </c>
    </row>
    <row r="52" spans="1:53" s="79" customFormat="1">
      <c r="A52" s="234">
        <v>43049</v>
      </c>
      <c r="B52" s="280" t="s">
        <v>1073</v>
      </c>
      <c r="C52" s="284" t="s">
        <v>770</v>
      </c>
      <c r="D52" s="214"/>
      <c r="E52" s="215">
        <v>1139</v>
      </c>
      <c r="F52" s="214"/>
      <c r="G52" s="215"/>
      <c r="H52" s="214"/>
      <c r="I52" s="215"/>
      <c r="J52" s="214"/>
      <c r="K52" s="215"/>
      <c r="L52" s="214"/>
      <c r="M52" s="215"/>
      <c r="N52" s="214"/>
      <c r="O52" s="215"/>
      <c r="P52" s="214">
        <v>1139</v>
      </c>
      <c r="Q52" s="215"/>
      <c r="R52" s="214"/>
      <c r="S52" s="215"/>
      <c r="T52" s="214"/>
      <c r="U52" s="215"/>
      <c r="V52" s="214"/>
      <c r="W52" s="215"/>
      <c r="X52" s="214"/>
      <c r="Y52" s="215"/>
      <c r="Z52" s="214"/>
      <c r="AA52" s="215"/>
      <c r="AB52" s="214"/>
      <c r="AC52" s="215"/>
      <c r="AD52" s="214"/>
      <c r="AE52" s="215"/>
      <c r="AF52" s="214"/>
      <c r="AG52" s="215"/>
      <c r="AH52" s="214"/>
      <c r="AI52" s="215"/>
      <c r="AJ52" s="214"/>
      <c r="AK52" s="215"/>
      <c r="AL52" s="214"/>
      <c r="AM52" s="215"/>
      <c r="AN52" s="214"/>
      <c r="AO52" s="215"/>
      <c r="AP52" s="214"/>
      <c r="AQ52" s="215"/>
      <c r="AR52" s="214"/>
      <c r="AS52" s="215"/>
      <c r="AT52" s="214"/>
      <c r="AU52" s="215"/>
      <c r="AV52" s="214"/>
      <c r="AW52" s="319"/>
      <c r="AX52" s="214"/>
      <c r="AY52" s="215"/>
      <c r="AZ52" s="243">
        <f t="shared" si="0"/>
        <v>0</v>
      </c>
    </row>
    <row r="53" spans="1:53" s="79" customFormat="1">
      <c r="A53" s="234">
        <v>43066</v>
      </c>
      <c r="B53" s="280" t="s">
        <v>1084</v>
      </c>
      <c r="C53" s="284" t="s">
        <v>771</v>
      </c>
      <c r="D53" s="214"/>
      <c r="E53" s="215">
        <v>794.42</v>
      </c>
      <c r="F53" s="214"/>
      <c r="G53" s="215"/>
      <c r="H53" s="214"/>
      <c r="I53" s="215"/>
      <c r="J53" s="214"/>
      <c r="K53" s="215"/>
      <c r="L53" s="214"/>
      <c r="M53" s="215"/>
      <c r="N53" s="214"/>
      <c r="O53" s="215"/>
      <c r="P53" s="214">
        <v>794.42</v>
      </c>
      <c r="Q53" s="215"/>
      <c r="R53" s="214"/>
      <c r="S53" s="215"/>
      <c r="T53" s="214"/>
      <c r="U53" s="215"/>
      <c r="V53" s="214"/>
      <c r="W53" s="215"/>
      <c r="X53" s="214"/>
      <c r="Y53" s="215"/>
      <c r="Z53" s="214"/>
      <c r="AA53" s="215"/>
      <c r="AB53" s="214"/>
      <c r="AC53" s="215"/>
      <c r="AD53" s="214"/>
      <c r="AE53" s="215"/>
      <c r="AF53" s="214"/>
      <c r="AG53" s="215"/>
      <c r="AH53" s="214"/>
      <c r="AI53" s="215"/>
      <c r="AJ53" s="214"/>
      <c r="AK53" s="215"/>
      <c r="AL53" s="214"/>
      <c r="AM53" s="215"/>
      <c r="AN53" s="214"/>
      <c r="AO53" s="215"/>
      <c r="AP53" s="214"/>
      <c r="AQ53" s="215"/>
      <c r="AR53" s="214"/>
      <c r="AS53" s="215"/>
      <c r="AT53" s="214"/>
      <c r="AU53" s="215"/>
      <c r="AV53" s="214"/>
      <c r="AW53" s="319"/>
      <c r="AX53" s="214"/>
      <c r="AY53" s="215"/>
      <c r="AZ53" s="243">
        <f t="shared" si="0"/>
        <v>0</v>
      </c>
    </row>
    <row r="54" spans="1:53" s="79" customFormat="1">
      <c r="A54" s="234">
        <v>43066</v>
      </c>
      <c r="B54" s="280" t="s">
        <v>1085</v>
      </c>
      <c r="C54" s="284" t="s">
        <v>882</v>
      </c>
      <c r="D54" s="214"/>
      <c r="E54" s="215">
        <v>3335</v>
      </c>
      <c r="F54" s="214"/>
      <c r="G54" s="215"/>
      <c r="H54" s="214"/>
      <c r="I54" s="215"/>
      <c r="J54" s="214"/>
      <c r="K54" s="215"/>
      <c r="L54" s="214"/>
      <c r="M54" s="215"/>
      <c r="N54" s="214"/>
      <c r="O54" s="215"/>
      <c r="P54" s="214">
        <v>3335</v>
      </c>
      <c r="Q54" s="215"/>
      <c r="R54" s="214"/>
      <c r="S54" s="215"/>
      <c r="T54" s="214"/>
      <c r="U54" s="215"/>
      <c r="V54" s="214"/>
      <c r="W54" s="215"/>
      <c r="X54" s="214"/>
      <c r="Y54" s="215"/>
      <c r="Z54" s="214"/>
      <c r="AA54" s="215"/>
      <c r="AB54" s="214"/>
      <c r="AC54" s="215"/>
      <c r="AD54" s="214"/>
      <c r="AE54" s="215"/>
      <c r="AF54" s="214"/>
      <c r="AG54" s="215"/>
      <c r="AH54" s="214"/>
      <c r="AI54" s="215"/>
      <c r="AJ54" s="214"/>
      <c r="AK54" s="215"/>
      <c r="AL54" s="214"/>
      <c r="AM54" s="215"/>
      <c r="AN54" s="214"/>
      <c r="AO54" s="215"/>
      <c r="AP54" s="214"/>
      <c r="AQ54" s="215"/>
      <c r="AR54" s="214"/>
      <c r="AS54" s="215"/>
      <c r="AT54" s="214"/>
      <c r="AU54" s="215"/>
      <c r="AV54" s="214"/>
      <c r="AW54" s="319"/>
      <c r="AX54" s="214"/>
      <c r="AY54" s="215"/>
      <c r="AZ54" s="243">
        <f t="shared" si="0"/>
        <v>0</v>
      </c>
    </row>
    <row r="55" spans="1:53" s="79" customFormat="1">
      <c r="A55" s="234">
        <v>43070</v>
      </c>
      <c r="B55" s="280" t="s">
        <v>1028</v>
      </c>
      <c r="C55" s="284" t="s">
        <v>883</v>
      </c>
      <c r="D55" s="214"/>
      <c r="E55" s="215">
        <v>90.25</v>
      </c>
      <c r="F55" s="214"/>
      <c r="G55" s="215"/>
      <c r="H55" s="214"/>
      <c r="I55" s="215"/>
      <c r="J55" s="214"/>
      <c r="K55" s="215"/>
      <c r="L55" s="214"/>
      <c r="M55" s="215"/>
      <c r="N55" s="214"/>
      <c r="O55" s="215"/>
      <c r="P55" s="214">
        <v>90.25</v>
      </c>
      <c r="Q55" s="215"/>
      <c r="R55" s="214"/>
      <c r="S55" s="215"/>
      <c r="T55" s="214"/>
      <c r="U55" s="215"/>
      <c r="V55" s="214"/>
      <c r="W55" s="215"/>
      <c r="X55" s="214"/>
      <c r="Y55" s="215"/>
      <c r="Z55" s="214"/>
      <c r="AA55" s="215"/>
      <c r="AB55" s="214"/>
      <c r="AC55" s="215"/>
      <c r="AD55" s="214"/>
      <c r="AE55" s="215"/>
      <c r="AF55" s="214"/>
      <c r="AG55" s="215"/>
      <c r="AH55" s="214"/>
      <c r="AI55" s="215"/>
      <c r="AJ55" s="214"/>
      <c r="AK55" s="215"/>
      <c r="AL55" s="214"/>
      <c r="AM55" s="215"/>
      <c r="AN55" s="214"/>
      <c r="AO55" s="215"/>
      <c r="AP55" s="214"/>
      <c r="AQ55" s="215"/>
      <c r="AR55" s="214"/>
      <c r="AS55" s="215"/>
      <c r="AT55" s="214"/>
      <c r="AU55" s="215"/>
      <c r="AV55" s="214"/>
      <c r="AW55" s="319"/>
      <c r="AX55" s="214"/>
      <c r="AY55" s="215"/>
      <c r="AZ55" s="243">
        <f t="shared" si="0"/>
        <v>0</v>
      </c>
    </row>
    <row r="56" spans="1:53" s="79" customFormat="1">
      <c r="A56" s="369">
        <v>43077</v>
      </c>
      <c r="B56" s="280" t="s">
        <v>1075</v>
      </c>
      <c r="C56" s="284" t="s">
        <v>884</v>
      </c>
      <c r="D56" s="467"/>
      <c r="E56" s="323">
        <v>3797.77</v>
      </c>
      <c r="F56" s="214"/>
      <c r="G56" s="215"/>
      <c r="H56" s="214">
        <v>3797.77</v>
      </c>
      <c r="I56" s="215"/>
      <c r="J56" s="214"/>
      <c r="K56" s="215"/>
      <c r="L56" s="214"/>
      <c r="M56" s="215"/>
      <c r="N56" s="214"/>
      <c r="O56" s="215"/>
      <c r="P56" s="214"/>
      <c r="Q56" s="215"/>
      <c r="R56" s="214"/>
      <c r="S56" s="215"/>
      <c r="T56" s="214"/>
      <c r="U56" s="215"/>
      <c r="V56" s="214"/>
      <c r="W56" s="215"/>
      <c r="X56" s="214"/>
      <c r="Y56" s="215"/>
      <c r="Z56" s="214"/>
      <c r="AA56" s="215"/>
      <c r="AB56" s="214"/>
      <c r="AC56" s="215"/>
      <c r="AD56" s="214"/>
      <c r="AE56" s="215"/>
      <c r="AF56" s="214"/>
      <c r="AG56" s="215"/>
      <c r="AH56" s="214"/>
      <c r="AI56" s="215"/>
      <c r="AJ56" s="214"/>
      <c r="AK56" s="215"/>
      <c r="AL56" s="214"/>
      <c r="AM56" s="215"/>
      <c r="AN56" s="214"/>
      <c r="AO56" s="215"/>
      <c r="AP56" s="214"/>
      <c r="AQ56" s="215"/>
      <c r="AR56" s="214"/>
      <c r="AS56" s="215"/>
      <c r="AT56" s="214"/>
      <c r="AU56" s="215"/>
      <c r="AV56" s="214"/>
      <c r="AW56" s="319"/>
      <c r="AX56" s="214"/>
      <c r="AY56" s="215"/>
      <c r="AZ56" s="243">
        <f t="shared" si="0"/>
        <v>0</v>
      </c>
    </row>
    <row r="57" spans="1:53" s="79" customFormat="1">
      <c r="A57" s="234">
        <v>43098</v>
      </c>
      <c r="B57" s="280" t="s">
        <v>624</v>
      </c>
      <c r="C57" s="284" t="s">
        <v>885</v>
      </c>
      <c r="D57" s="214">
        <v>67.89</v>
      </c>
      <c r="E57" s="215"/>
      <c r="F57" s="214"/>
      <c r="G57" s="215"/>
      <c r="H57" s="214"/>
      <c r="I57" s="215"/>
      <c r="J57" s="214"/>
      <c r="K57" s="215"/>
      <c r="L57" s="214"/>
      <c r="M57" s="215"/>
      <c r="N57" s="214"/>
      <c r="O57" s="215"/>
      <c r="P57" s="214"/>
      <c r="Q57" s="215"/>
      <c r="R57" s="214"/>
      <c r="S57" s="215"/>
      <c r="T57" s="214"/>
      <c r="U57" s="215"/>
      <c r="V57" s="214"/>
      <c r="W57" s="215"/>
      <c r="X57" s="214"/>
      <c r="Y57" s="215"/>
      <c r="Z57" s="214"/>
      <c r="AA57" s="215"/>
      <c r="AB57" s="214"/>
      <c r="AC57" s="215"/>
      <c r="AD57" s="214"/>
      <c r="AE57" s="215"/>
      <c r="AF57" s="214"/>
      <c r="AG57" s="215">
        <v>67.89</v>
      </c>
      <c r="AH57" s="214"/>
      <c r="AI57" s="215"/>
      <c r="AJ57" s="214"/>
      <c r="AK57" s="215"/>
      <c r="AL57" s="214"/>
      <c r="AM57" s="215"/>
      <c r="AN57" s="214"/>
      <c r="AO57" s="215"/>
      <c r="AP57" s="214"/>
      <c r="AQ57" s="215"/>
      <c r="AR57" s="214"/>
      <c r="AS57" s="215"/>
      <c r="AT57" s="214"/>
      <c r="AU57" s="215"/>
      <c r="AV57" s="214"/>
      <c r="AW57" s="319"/>
      <c r="AX57" s="214"/>
      <c r="AY57" s="215"/>
      <c r="AZ57" s="243">
        <f t="shared" si="0"/>
        <v>0</v>
      </c>
    </row>
    <row r="58" spans="1:53" s="79" customFormat="1">
      <c r="A58" s="234">
        <v>43100</v>
      </c>
      <c r="B58" s="280" t="s">
        <v>625</v>
      </c>
      <c r="C58" s="284" t="s">
        <v>713</v>
      </c>
      <c r="D58" s="214"/>
      <c r="E58" s="215"/>
      <c r="F58" s="214"/>
      <c r="G58" s="215"/>
      <c r="H58" s="214"/>
      <c r="I58" s="215"/>
      <c r="J58" s="214"/>
      <c r="K58" s="215"/>
      <c r="L58" s="214"/>
      <c r="M58" s="215"/>
      <c r="N58" s="214"/>
      <c r="O58" s="215"/>
      <c r="P58" s="214"/>
      <c r="Q58" s="215"/>
      <c r="R58" s="214"/>
      <c r="S58" s="215"/>
      <c r="T58" s="214"/>
      <c r="U58" s="215"/>
      <c r="V58" s="214"/>
      <c r="W58" s="215"/>
      <c r="X58" s="214"/>
      <c r="Y58" s="215"/>
      <c r="Z58" s="214"/>
      <c r="AA58" s="215"/>
      <c r="AB58" s="214"/>
      <c r="AC58" s="215"/>
      <c r="AD58" s="214">
        <v>3680.24</v>
      </c>
      <c r="AE58" s="215"/>
      <c r="AF58" s="214"/>
      <c r="AG58" s="215">
        <v>3680.24</v>
      </c>
      <c r="AH58" s="214"/>
      <c r="AI58" s="215"/>
      <c r="AJ58" s="214"/>
      <c r="AK58" s="215"/>
      <c r="AL58" s="214"/>
      <c r="AM58" s="215"/>
      <c r="AN58" s="214"/>
      <c r="AO58" s="215"/>
      <c r="AP58" s="214"/>
      <c r="AQ58" s="215"/>
      <c r="AR58" s="214"/>
      <c r="AS58" s="215"/>
      <c r="AT58" s="214"/>
      <c r="AU58" s="215"/>
      <c r="AV58" s="214"/>
      <c r="AW58" s="319"/>
      <c r="AX58" s="214"/>
      <c r="AY58" s="215"/>
      <c r="AZ58" s="243">
        <f t="shared" si="0"/>
        <v>0</v>
      </c>
    </row>
    <row r="59" spans="1:53" s="79" customFormat="1">
      <c r="A59" s="234"/>
      <c r="B59" s="257"/>
      <c r="C59" s="388"/>
      <c r="D59" s="214"/>
      <c r="E59" s="215"/>
      <c r="F59" s="214"/>
      <c r="G59" s="215"/>
      <c r="H59" s="214"/>
      <c r="I59" s="215"/>
      <c r="J59" s="214"/>
      <c r="K59" s="215"/>
      <c r="L59" s="214"/>
      <c r="M59" s="215"/>
      <c r="N59" s="214"/>
      <c r="O59" s="215"/>
      <c r="P59" s="214"/>
      <c r="Q59" s="215"/>
      <c r="R59" s="214"/>
      <c r="S59" s="215"/>
      <c r="T59" s="214"/>
      <c r="U59" s="215"/>
      <c r="V59" s="214"/>
      <c r="W59" s="215"/>
      <c r="X59" s="214"/>
      <c r="Y59" s="215"/>
      <c r="Z59" s="214"/>
      <c r="AA59" s="215"/>
      <c r="AB59" s="214"/>
      <c r="AC59" s="215"/>
      <c r="AD59" s="214"/>
      <c r="AE59" s="215"/>
      <c r="AF59" s="214"/>
      <c r="AG59" s="215"/>
      <c r="AH59" s="214"/>
      <c r="AI59" s="215"/>
      <c r="AJ59" s="214"/>
      <c r="AK59" s="215"/>
      <c r="AL59" s="214"/>
      <c r="AM59" s="215"/>
      <c r="AN59" s="214"/>
      <c r="AO59" s="215"/>
      <c r="AP59" s="214"/>
      <c r="AQ59" s="215"/>
      <c r="AR59" s="214"/>
      <c r="AS59" s="215"/>
      <c r="AT59" s="214"/>
      <c r="AU59" s="215"/>
      <c r="AV59" s="214"/>
      <c r="AW59" s="319"/>
      <c r="AX59" s="214"/>
      <c r="AY59" s="215"/>
      <c r="AZ59" s="243">
        <f t="shared" si="0"/>
        <v>0</v>
      </c>
    </row>
    <row r="60" spans="1:53" s="479" customFormat="1">
      <c r="A60" s="475"/>
      <c r="B60" s="476"/>
      <c r="C60" s="472"/>
      <c r="D60" s="473"/>
      <c r="E60" s="474"/>
      <c r="F60" s="473"/>
      <c r="G60" s="474"/>
      <c r="H60" s="473"/>
      <c r="I60" s="474"/>
      <c r="J60" s="473"/>
      <c r="K60" s="474"/>
      <c r="L60" s="473"/>
      <c r="M60" s="474"/>
      <c r="N60" s="473"/>
      <c r="O60" s="474"/>
      <c r="P60" s="477"/>
      <c r="Q60" s="474"/>
      <c r="R60" s="473"/>
      <c r="S60" s="474"/>
      <c r="T60" s="473"/>
      <c r="U60" s="474"/>
      <c r="V60" s="473"/>
      <c r="W60" s="474"/>
      <c r="X60" s="473"/>
      <c r="Y60" s="474"/>
      <c r="Z60" s="473"/>
      <c r="AA60" s="474"/>
      <c r="AB60" s="473"/>
      <c r="AC60" s="474"/>
      <c r="AD60" s="473"/>
      <c r="AE60" s="474"/>
      <c r="AF60" s="473"/>
      <c r="AG60" s="478"/>
      <c r="AH60" s="473"/>
      <c r="AI60" s="474"/>
      <c r="AJ60" s="473"/>
      <c r="AK60" s="474"/>
      <c r="AL60" s="473"/>
      <c r="AM60" s="474"/>
      <c r="AN60" s="473"/>
      <c r="AO60" s="474"/>
      <c r="AP60" s="473"/>
      <c r="AQ60" s="474"/>
      <c r="AR60" s="473"/>
      <c r="AS60" s="474"/>
      <c r="AT60" s="473"/>
      <c r="AU60" s="474"/>
      <c r="AV60" s="473"/>
      <c r="AW60" s="477"/>
      <c r="AX60" s="473"/>
      <c r="AY60" s="474"/>
      <c r="AZ60" s="496">
        <f t="shared" si="0"/>
        <v>0</v>
      </c>
    </row>
    <row r="61" spans="1:53" s="79" customFormat="1">
      <c r="A61" s="234"/>
      <c r="B61" s="280"/>
      <c r="C61" s="284"/>
      <c r="D61" s="214"/>
      <c r="E61" s="215"/>
      <c r="F61" s="214"/>
      <c r="G61" s="215"/>
      <c r="H61" s="214"/>
      <c r="I61" s="215"/>
      <c r="J61" s="214"/>
      <c r="K61" s="215"/>
      <c r="L61" s="214"/>
      <c r="M61" s="215"/>
      <c r="N61" s="214"/>
      <c r="O61" s="215"/>
      <c r="P61" s="214"/>
      <c r="Q61" s="215"/>
      <c r="R61" s="214"/>
      <c r="S61" s="215"/>
      <c r="T61" s="214"/>
      <c r="U61" s="215"/>
      <c r="V61" s="214"/>
      <c r="W61" s="215"/>
      <c r="X61" s="214"/>
      <c r="Y61" s="215"/>
      <c r="Z61" s="214"/>
      <c r="AA61" s="215"/>
      <c r="AB61" s="214"/>
      <c r="AC61" s="215"/>
      <c r="AD61" s="214"/>
      <c r="AE61" s="215"/>
      <c r="AF61" s="214"/>
      <c r="AG61" s="215"/>
      <c r="AH61" s="214"/>
      <c r="AI61" s="215"/>
      <c r="AJ61" s="214"/>
      <c r="AK61" s="215"/>
      <c r="AL61" s="214"/>
      <c r="AM61" s="215"/>
      <c r="AN61" s="214"/>
      <c r="AO61" s="215"/>
      <c r="AP61" s="214"/>
      <c r="AQ61" s="215"/>
      <c r="AR61" s="214"/>
      <c r="AS61" s="215"/>
      <c r="AT61" s="214"/>
      <c r="AU61" s="215"/>
      <c r="AV61" s="214"/>
      <c r="AW61" s="319"/>
      <c r="AX61" s="214"/>
      <c r="AY61" s="215"/>
      <c r="AZ61" s="243">
        <f t="shared" si="0"/>
        <v>0</v>
      </c>
    </row>
    <row r="62" spans="1:53" s="202" customFormat="1">
      <c r="A62" s="235"/>
      <c r="B62" s="207" t="s">
        <v>41</v>
      </c>
      <c r="C62" s="207"/>
      <c r="D62" s="216">
        <f>SUM(D9:D61)</f>
        <v>105850.39</v>
      </c>
      <c r="E62" s="217"/>
      <c r="F62" s="216">
        <f>SUM(F9:F61)</f>
        <v>5000</v>
      </c>
      <c r="G62" s="217"/>
      <c r="H62" s="216">
        <f>SUM(H9:H61)</f>
        <v>6181.95</v>
      </c>
      <c r="I62" s="217"/>
      <c r="J62" s="216">
        <f>SUM(J9:J61)</f>
        <v>4011.4</v>
      </c>
      <c r="K62" s="217"/>
      <c r="L62" s="216">
        <f>SUM(L9:L61)</f>
        <v>1380</v>
      </c>
      <c r="M62" s="217"/>
      <c r="N62" s="216">
        <f>SUM(N9:N61)</f>
        <v>0</v>
      </c>
      <c r="O62" s="217"/>
      <c r="P62" s="216">
        <f>SUM(P9:P61)</f>
        <v>7298.52</v>
      </c>
      <c r="Q62" s="217"/>
      <c r="R62" s="216">
        <f>SUM(R9:R61)</f>
        <v>5000</v>
      </c>
      <c r="S62" s="217"/>
      <c r="T62" s="216">
        <f>SUM(T9:T61)</f>
        <v>751</v>
      </c>
      <c r="U62" s="217"/>
      <c r="V62" s="216">
        <f>SUM(V9:V61)</f>
        <v>0</v>
      </c>
      <c r="W62" s="217"/>
      <c r="X62" s="216">
        <f>SUM(X9:X61)</f>
        <v>0</v>
      </c>
      <c r="Y62" s="217"/>
      <c r="Z62" s="216">
        <f>SUM(Z9:Z61)</f>
        <v>11135</v>
      </c>
      <c r="AA62" s="217"/>
      <c r="AB62" s="216">
        <f>SUM(AB9:AB61)</f>
        <v>0</v>
      </c>
      <c r="AC62" s="217"/>
      <c r="AD62" s="216">
        <f>SUM(AD9:AD61)</f>
        <v>837808.11</v>
      </c>
      <c r="AE62" s="217"/>
      <c r="AF62" s="216">
        <f>SUM(AF9:AF61)</f>
        <v>0</v>
      </c>
      <c r="AG62" s="217"/>
      <c r="AH62" s="216">
        <f>SUM(AH9:AH61)</f>
        <v>0</v>
      </c>
      <c r="AI62" s="217"/>
      <c r="AJ62" s="216">
        <f>SUM(AJ9:AJ61)</f>
        <v>950000</v>
      </c>
      <c r="AK62" s="217"/>
      <c r="AL62" s="216">
        <f>SUM(AL9:AL61)</f>
        <v>112480</v>
      </c>
      <c r="AM62" s="217"/>
      <c r="AN62" s="216">
        <f>SUM(AN9:AN61)</f>
        <v>20000</v>
      </c>
      <c r="AO62" s="217"/>
      <c r="AP62" s="216">
        <f>SUM(AP9:AP61)</f>
        <v>0</v>
      </c>
      <c r="AQ62" s="217"/>
      <c r="AR62" s="216">
        <f>SUM(AR9:AR61)</f>
        <v>0</v>
      </c>
      <c r="AS62" s="217"/>
      <c r="AT62" s="216">
        <f>SUM(AT9:AT61)</f>
        <v>0</v>
      </c>
      <c r="AU62" s="217"/>
      <c r="AV62" s="216">
        <f>SUM(AV9:AV61)</f>
        <v>108794.23</v>
      </c>
      <c r="AW62" s="375"/>
      <c r="AX62" s="216">
        <f>SUM(AX9:AX61)</f>
        <v>776.15999999999985</v>
      </c>
      <c r="AY62" s="217"/>
      <c r="AZ62" s="203">
        <f t="shared" si="0"/>
        <v>2176466.7600000002</v>
      </c>
      <c r="BA62" s="202" t="s">
        <v>28</v>
      </c>
    </row>
    <row r="63" spans="1:53" s="202" customFormat="1">
      <c r="A63" s="235"/>
      <c r="B63" s="204" t="s">
        <v>42</v>
      </c>
      <c r="C63" s="204"/>
      <c r="D63" s="218"/>
      <c r="E63" s="219">
        <f>SUM(E9:E61)</f>
        <v>44552.1</v>
      </c>
      <c r="F63" s="218"/>
      <c r="G63" s="219">
        <f>SUM(G9:G61)</f>
        <v>0</v>
      </c>
      <c r="H63" s="218"/>
      <c r="I63" s="219">
        <f>SUM(I9:I61)</f>
        <v>0</v>
      </c>
      <c r="J63" s="218"/>
      <c r="K63" s="219">
        <f>SUM(K9:K61)</f>
        <v>0</v>
      </c>
      <c r="L63" s="218"/>
      <c r="M63" s="219">
        <f>SUM(M9:M61)</f>
        <v>0</v>
      </c>
      <c r="N63" s="218"/>
      <c r="O63" s="219">
        <f>SUM(O9:O61)</f>
        <v>0</v>
      </c>
      <c r="P63" s="218"/>
      <c r="Q63" s="219">
        <f>SUM(Q9:Q61)</f>
        <v>0</v>
      </c>
      <c r="R63" s="218"/>
      <c r="S63" s="219">
        <f>SUM(S9:S61)</f>
        <v>2500</v>
      </c>
      <c r="T63" s="218"/>
      <c r="U63" s="219">
        <f>SUM(U9:U61)</f>
        <v>0</v>
      </c>
      <c r="V63" s="218"/>
      <c r="W63" s="219">
        <f>SUM(W9:W61)</f>
        <v>0</v>
      </c>
      <c r="X63" s="218"/>
      <c r="Y63" s="219">
        <f>SUM(Y9:Y61)</f>
        <v>0</v>
      </c>
      <c r="Z63" s="218"/>
      <c r="AA63" s="219">
        <f>SUM(AA9:AA61)</f>
        <v>0</v>
      </c>
      <c r="AB63" s="218"/>
      <c r="AC63" s="219">
        <f>SUM(AC9:AC61)</f>
        <v>38962.620000000003</v>
      </c>
      <c r="AD63" s="218"/>
      <c r="AE63" s="219">
        <f>SUM(AE9:AE61)</f>
        <v>105000</v>
      </c>
      <c r="AF63" s="218"/>
      <c r="AG63" s="219">
        <f>SUM(AG9:AG61)</f>
        <v>3748.1299999999997</v>
      </c>
      <c r="AH63" s="218"/>
      <c r="AI63" s="219">
        <f>SUM(AI9:AI61)</f>
        <v>0</v>
      </c>
      <c r="AJ63" s="218"/>
      <c r="AK63" s="219">
        <f>SUM(AK9:AK61)</f>
        <v>0</v>
      </c>
      <c r="AL63" s="218"/>
      <c r="AM63" s="219">
        <f>SUM(AM9:AM61)</f>
        <v>0</v>
      </c>
      <c r="AN63" s="218"/>
      <c r="AO63" s="219">
        <f>SUM(AO9:AO61)</f>
        <v>0</v>
      </c>
      <c r="AP63" s="218"/>
      <c r="AQ63" s="219">
        <f>SUM(AQ9:AQ61)</f>
        <v>1082480</v>
      </c>
      <c r="AR63" s="218"/>
      <c r="AS63" s="219">
        <f>SUM(AS9:AS61)</f>
        <v>723568.20573900011</v>
      </c>
      <c r="AT63" s="218"/>
      <c r="AU63" s="219">
        <f>SUM(AU9:AU61)</f>
        <v>66085.314260999919</v>
      </c>
      <c r="AV63" s="218"/>
      <c r="AW63" s="376">
        <f>SUM(AW9:AW61)</f>
        <v>108794.23</v>
      </c>
      <c r="AX63" s="218"/>
      <c r="AY63" s="219">
        <f>SUM(AY9:AY61)</f>
        <v>776.16</v>
      </c>
      <c r="AZ63" s="203">
        <f t="shared" si="0"/>
        <v>-2176466.7600000002</v>
      </c>
      <c r="BA63" s="202" t="s">
        <v>29</v>
      </c>
    </row>
    <row r="64" spans="1:53" s="202" customFormat="1">
      <c r="A64" s="235"/>
      <c r="B64" s="204" t="s">
        <v>197</v>
      </c>
      <c r="C64" s="204"/>
      <c r="D64" s="220">
        <f>IF(D62&gt;=E63,D62-E63,"")</f>
        <v>61298.29</v>
      </c>
      <c r="E64" s="221" t="str">
        <f>IF(D62&lt;E63,E63-D62,"")</f>
        <v/>
      </c>
      <c r="F64" s="220">
        <f>IF(F62&gt;=G63,F62-G63,"")</f>
        <v>5000</v>
      </c>
      <c r="G64" s="221" t="str">
        <f>IF(F62&lt;G63,G63-F62,"")</f>
        <v/>
      </c>
      <c r="H64" s="220">
        <f>IF(H62&gt;=I63,H62-I63,"")</f>
        <v>6181.95</v>
      </c>
      <c r="I64" s="221" t="str">
        <f>IF(H62&lt;I63,I63-H62,"")</f>
        <v/>
      </c>
      <c r="J64" s="220">
        <f>IF(J62&gt;=K63,J62-K63,"")</f>
        <v>4011.4</v>
      </c>
      <c r="K64" s="221" t="str">
        <f>IF(J62&lt;K63,K63-J62,"")</f>
        <v/>
      </c>
      <c r="L64" s="220">
        <f>IF(L62&gt;=M63,L62-M63,"")</f>
        <v>1380</v>
      </c>
      <c r="M64" s="221" t="str">
        <f>IF(L62&lt;M63,M63-L62,"")</f>
        <v/>
      </c>
      <c r="N64" s="220">
        <f>IF(N62&gt;=O63,N62-O63,"")</f>
        <v>0</v>
      </c>
      <c r="O64" s="221" t="str">
        <f>IF(N62&lt;O63,O63-N62,"")</f>
        <v/>
      </c>
      <c r="P64" s="220">
        <f>IF(P62&gt;=Q63,P62-Q63,"")</f>
        <v>7298.52</v>
      </c>
      <c r="Q64" s="221" t="str">
        <f>IF(P62&lt;Q63,Q63-P62,"")</f>
        <v/>
      </c>
      <c r="R64" s="220">
        <f>IF(R62&gt;=S63,R62-S63,"")</f>
        <v>2500</v>
      </c>
      <c r="S64" s="221" t="str">
        <f>IF(R62&lt;S63,S63-R62,"")</f>
        <v/>
      </c>
      <c r="T64" s="220">
        <f>IF(T62&gt;=U63,T62-U63,"")</f>
        <v>751</v>
      </c>
      <c r="U64" s="221" t="str">
        <f>IF(T62&lt;U63,U63-T62,"")</f>
        <v/>
      </c>
      <c r="V64" s="220">
        <f>IF(V62&gt;=W63,V62-W63,"")</f>
        <v>0</v>
      </c>
      <c r="W64" s="221" t="str">
        <f>IF(V62&lt;W63,W63-V62,"")</f>
        <v/>
      </c>
      <c r="X64" s="220">
        <f>IF(X62&gt;=Y63,X62-Y63,"")</f>
        <v>0</v>
      </c>
      <c r="Y64" s="221" t="str">
        <f>IF(X62&lt;Y63,Y63-X62,"")</f>
        <v/>
      </c>
      <c r="Z64" s="220">
        <f>IF(Z62&gt;=AA63,Z62-AA63,"")</f>
        <v>11135</v>
      </c>
      <c r="AA64" s="221" t="str">
        <f>IF(Z62&lt;AA63,AA63-Z62,"")</f>
        <v/>
      </c>
      <c r="AB64" s="220" t="str">
        <f>IF(AB62&gt;=AC63,AB62-AC63,"")</f>
        <v/>
      </c>
      <c r="AC64" s="221">
        <f>IF(AB62&lt;AC63,AC63-AB62,"")</f>
        <v>38962.620000000003</v>
      </c>
      <c r="AD64" s="220">
        <f>IF(AD62&gt;=AE63,AD62-AE63,"")</f>
        <v>732808.11</v>
      </c>
      <c r="AE64" s="221" t="str">
        <f>IF(AD62&lt;AE63,AE63-AD62,"")</f>
        <v/>
      </c>
      <c r="AF64" s="220" t="str">
        <f>IF(AF62&gt;=AG63,AF62-AG63,"")</f>
        <v/>
      </c>
      <c r="AG64" s="221">
        <f>IF(AF62&lt;AG63,AG63-AF62,"")</f>
        <v>3748.1299999999997</v>
      </c>
      <c r="AH64" s="220">
        <f>IF(AH62&gt;=AI63,AH62-AI63,"")</f>
        <v>0</v>
      </c>
      <c r="AI64" s="221" t="str">
        <f>IF(AH62&lt;AI63,AI63-AH62,"")</f>
        <v/>
      </c>
      <c r="AJ64" s="220">
        <f>IF(AJ62&gt;=AK63,AJ62-AK63,"")</f>
        <v>950000</v>
      </c>
      <c r="AK64" s="221" t="str">
        <f>IF(AJ62&lt;AK63,AK63-AJ62,"")</f>
        <v/>
      </c>
      <c r="AL64" s="220">
        <f>IF(AL62&gt;=AM63,AL62-AM63,"")</f>
        <v>112480</v>
      </c>
      <c r="AM64" s="221" t="str">
        <f>IF(AL62&lt;AM63,AM63-AL62,"")</f>
        <v/>
      </c>
      <c r="AN64" s="220">
        <f>IF(AN62&gt;=AO63,AN62-AO63,"")</f>
        <v>20000</v>
      </c>
      <c r="AO64" s="221" t="str">
        <f>IF(AN62&lt;AO63,AO63-AN62,"")</f>
        <v/>
      </c>
      <c r="AP64" s="220" t="str">
        <f>IF(AP62&gt;=AQ63,AP62-AQ63,"")</f>
        <v/>
      </c>
      <c r="AQ64" s="221">
        <f>IF(AP62&lt;AQ63,AQ63-AP62,"")</f>
        <v>1082480</v>
      </c>
      <c r="AR64" s="220" t="str">
        <f>IF(AR62&gt;=AS63,AR62-AS63,"")</f>
        <v/>
      </c>
      <c r="AS64" s="221">
        <f>IF(AR62&lt;AS63,AS63-AR62,"")</f>
        <v>723568.20573900011</v>
      </c>
      <c r="AT64" s="220" t="str">
        <f>IF(AT62&gt;=AU63,AT62-AU63,"")</f>
        <v/>
      </c>
      <c r="AU64" s="221">
        <f>IF(AT62&lt;AU63,AU63-AT62,"")</f>
        <v>66085.314260999919</v>
      </c>
      <c r="AV64" s="220">
        <f>IF(AV62&gt;=AW63,AV62-AW63,"")</f>
        <v>0</v>
      </c>
      <c r="AW64" s="220">
        <f>IF(AW62&gt;=AX63,AW62-AX63,"")</f>
        <v>0</v>
      </c>
      <c r="AX64" s="220">
        <f>IF(AX62&gt;=AY63,AX62-AY63,"")</f>
        <v>-1.1368683772161603E-13</v>
      </c>
      <c r="AY64" s="221" t="str">
        <f>IF(AX62&lt;AY63,AY63-AX62,"")</f>
        <v/>
      </c>
      <c r="AZ64" s="203">
        <f>SUM(AZ62:AZ63)</f>
        <v>0</v>
      </c>
    </row>
    <row r="65" spans="1:70" s="202" customFormat="1">
      <c r="A65" s="235"/>
      <c r="B65" s="207" t="s">
        <v>172</v>
      </c>
      <c r="C65" s="207"/>
      <c r="D65" s="216"/>
      <c r="E65" s="217"/>
      <c r="F65" s="216"/>
      <c r="G65" s="217"/>
      <c r="H65" s="216"/>
      <c r="I65" s="217"/>
      <c r="J65" s="216"/>
      <c r="K65" s="217"/>
      <c r="L65" s="216"/>
      <c r="M65" s="217"/>
      <c r="N65" s="216"/>
      <c r="O65" s="217"/>
      <c r="P65" s="216"/>
      <c r="Q65" s="217"/>
      <c r="R65" s="216"/>
      <c r="S65" s="217"/>
      <c r="T65" s="216"/>
      <c r="U65" s="217"/>
      <c r="V65" s="216"/>
      <c r="W65" s="217"/>
      <c r="X65" s="216"/>
      <c r="Y65" s="217"/>
      <c r="Z65" s="216"/>
      <c r="AA65" s="217"/>
      <c r="AB65" s="216"/>
      <c r="AC65" s="217"/>
      <c r="AD65" s="216"/>
      <c r="AE65" s="217"/>
      <c r="AF65" s="216"/>
      <c r="AG65" s="217"/>
      <c r="AH65" s="216"/>
      <c r="AI65" s="217"/>
      <c r="AJ65" s="216"/>
      <c r="AK65" s="217"/>
      <c r="AL65" s="216"/>
      <c r="AM65" s="217"/>
      <c r="AN65" s="216"/>
      <c r="AO65" s="217"/>
      <c r="AP65" s="216"/>
      <c r="AQ65" s="217"/>
      <c r="AR65" s="216"/>
      <c r="AS65" s="246">
        <f>D131</f>
        <v>723.56822317484125</v>
      </c>
      <c r="AT65" s="216"/>
      <c r="AU65" s="246">
        <f>D132</f>
        <v>3729.3117768251632</v>
      </c>
      <c r="AV65" s="216"/>
      <c r="AW65" s="375"/>
      <c r="AX65" s="216"/>
      <c r="AY65" s="217"/>
      <c r="AZ65" s="193">
        <f>+D65-E65+F65-G65+H65-I65+J65-K65+L65-M65+N65-O65+P65-Q65+R65-S65+T65-U65+V65-W65+X65-Y65+Z65-AA65+AB65-AC65+AD65-AE65+AF65-AG65+AH65-AI65+AJ65-AK65+AL65-AM65+AN65-AO65+AP65-AQ65+AR65-AS65+AT65-AU65+AV65-AW65+AX65-AY65</f>
        <v>-4452.8800000000047</v>
      </c>
      <c r="BA65" s="203"/>
    </row>
    <row r="66" spans="1:70" s="202" customFormat="1" ht="13.5" thickBot="1">
      <c r="A66" s="236"/>
      <c r="B66" s="275" t="s">
        <v>839</v>
      </c>
      <c r="C66" s="237"/>
      <c r="D66" s="238">
        <f>D64+D65</f>
        <v>61298.29</v>
      </c>
      <c r="E66" s="239"/>
      <c r="F66" s="238"/>
      <c r="G66" s="239"/>
      <c r="H66" s="238"/>
      <c r="I66" s="239"/>
      <c r="J66" s="238"/>
      <c r="K66" s="239"/>
      <c r="L66" s="238"/>
      <c r="M66" s="239"/>
      <c r="N66" s="238"/>
      <c r="O66" s="239"/>
      <c r="P66" s="238"/>
      <c r="Q66" s="239"/>
      <c r="R66" s="238"/>
      <c r="S66" s="239"/>
      <c r="T66" s="238"/>
      <c r="U66" s="239"/>
      <c r="V66" s="238"/>
      <c r="W66" s="239"/>
      <c r="X66" s="238"/>
      <c r="Y66" s="239"/>
      <c r="Z66" s="238"/>
      <c r="AA66" s="239"/>
      <c r="AB66" s="238"/>
      <c r="AC66" s="239"/>
      <c r="AD66" s="238">
        <f>AD64+AD65</f>
        <v>732808.11</v>
      </c>
      <c r="AE66" s="239"/>
      <c r="AF66" s="238"/>
      <c r="AG66" s="239"/>
      <c r="AH66" s="238"/>
      <c r="AI66" s="239"/>
      <c r="AJ66" s="238">
        <f>AJ64+AJ65</f>
        <v>950000</v>
      </c>
      <c r="AK66" s="239"/>
      <c r="AL66" s="238">
        <f>AL64+AL65</f>
        <v>112480</v>
      </c>
      <c r="AM66" s="239"/>
      <c r="AN66" s="238">
        <f>AN64+AN65</f>
        <v>20000</v>
      </c>
      <c r="AO66" s="239"/>
      <c r="AP66" s="238"/>
      <c r="AQ66" s="239">
        <f>AQ64+AQ65</f>
        <v>1082480</v>
      </c>
      <c r="AR66" s="238"/>
      <c r="AS66" s="239">
        <f>AS64+AS65</f>
        <v>724291.77396217501</v>
      </c>
      <c r="AT66" s="238"/>
      <c r="AU66" s="239">
        <f>AU64+AU65</f>
        <v>69814.626037825088</v>
      </c>
      <c r="AV66" s="238"/>
      <c r="AW66" s="378">
        <f>AW64+AW65-AV65</f>
        <v>0</v>
      </c>
      <c r="AX66" s="238">
        <f>AX64+AX65</f>
        <v>-1.1368683772161603E-13</v>
      </c>
      <c r="AY66" s="239"/>
      <c r="AZ66" s="193">
        <f>+D66-E66+F66-G66+H66-I66+J66-K66+L66-M66+N66-O66+P66-Q66+R66-S66+T66-U66+V66-W66+X66-Y66+Z66-AA66+AB66-AC66+AD66-AE66+AF66-AG66+AH66-AI66+AJ66-AK66+AL66-AM66+AN66-AO66+AP66-AQ66+AR66-AS66+AT66-AU66+AV66-AW66+AX66-AY66</f>
        <v>-1.8928858480649069E-10</v>
      </c>
    </row>
    <row r="67" spans="1:70">
      <c r="B67" s="158"/>
      <c r="E67" s="113"/>
      <c r="F67" s="159"/>
      <c r="AZ67" s="113"/>
    </row>
    <row r="68" spans="1:70">
      <c r="B68" s="561"/>
      <c r="C68" s="561"/>
      <c r="D68" s="479"/>
      <c r="E68" s="43"/>
      <c r="F68" s="113"/>
    </row>
    <row r="69" spans="1:70">
      <c r="BR69" s="113"/>
    </row>
    <row r="70" spans="1:70" ht="24.75">
      <c r="B70" s="552" t="s">
        <v>1057</v>
      </c>
      <c r="C70" s="552"/>
      <c r="D70" s="552"/>
      <c r="E70" s="552"/>
      <c r="F70" s="552"/>
    </row>
    <row r="72" spans="1:70" ht="19.5">
      <c r="B72" s="148" t="s">
        <v>51</v>
      </c>
      <c r="C72" s="148"/>
      <c r="D72" s="459">
        <v>2017</v>
      </c>
      <c r="E72" s="459">
        <v>2016</v>
      </c>
      <c r="F72" s="338" t="s">
        <v>894</v>
      </c>
    </row>
    <row r="73" spans="1:70">
      <c r="B73" s="35"/>
      <c r="F73" s="331"/>
    </row>
    <row r="74" spans="1:70">
      <c r="B74" s="33" t="s">
        <v>52</v>
      </c>
      <c r="F74" s="331"/>
    </row>
    <row r="75" spans="1:70">
      <c r="B75" s="33" t="s">
        <v>53</v>
      </c>
      <c r="F75" s="331"/>
      <c r="H75" s="35"/>
      <c r="AF75" s="34"/>
      <c r="AG75" s="34"/>
    </row>
    <row r="76" spans="1:70">
      <c r="B76" s="276" t="s">
        <v>670</v>
      </c>
      <c r="C76" s="177"/>
      <c r="D76" s="440">
        <f>$D$62-$E$63</f>
        <v>61298.29</v>
      </c>
      <c r="E76" s="440">
        <f>'Regnskap 2016'!D83</f>
        <v>63543.72</v>
      </c>
      <c r="F76" s="441">
        <f>D76-E76</f>
        <v>-2245.4300000000003</v>
      </c>
      <c r="G76" s="77"/>
      <c r="H76" s="64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5"/>
      <c r="AG76" s="75"/>
    </row>
    <row r="77" spans="1:70">
      <c r="B77" s="276" t="s">
        <v>703</v>
      </c>
      <c r="C77" s="177"/>
      <c r="D77" s="440">
        <f>$AD$62-$AE$63</f>
        <v>732808.11</v>
      </c>
      <c r="E77" s="440">
        <f>'Regnskap 2016'!D84</f>
        <v>834127.87</v>
      </c>
      <c r="F77" s="441">
        <f>D77-E77</f>
        <v>-101319.76000000001</v>
      </c>
      <c r="G77" s="77"/>
      <c r="H77" s="64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5"/>
      <c r="AG77" s="75"/>
    </row>
    <row r="78" spans="1:70">
      <c r="B78" s="276" t="s">
        <v>32</v>
      </c>
      <c r="C78" s="177" t="s">
        <v>707</v>
      </c>
      <c r="D78" s="440">
        <v>0</v>
      </c>
      <c r="E78" s="440">
        <f>'Regnskap 2016'!D85</f>
        <v>776.15999999999985</v>
      </c>
      <c r="F78" s="441">
        <f>D78-E78</f>
        <v>-776.15999999999985</v>
      </c>
      <c r="G78" s="77"/>
      <c r="H78" s="64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5"/>
      <c r="AG78" s="75"/>
    </row>
    <row r="79" spans="1:70">
      <c r="B79" s="33" t="s">
        <v>60</v>
      </c>
      <c r="D79" s="442">
        <v>794106.4</v>
      </c>
      <c r="E79" s="443">
        <f>'Regnskap 2016'!D86</f>
        <v>898447.75</v>
      </c>
      <c r="F79" s="444">
        <f>D79-E79</f>
        <v>-104341.34999999998</v>
      </c>
      <c r="H79" s="64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5"/>
      <c r="AG79" s="75"/>
    </row>
    <row r="80" spans="1:70">
      <c r="B80" s="35"/>
      <c r="D80" s="445"/>
      <c r="E80" s="445"/>
      <c r="F80" s="446"/>
      <c r="H80" s="64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5"/>
      <c r="AG80" s="75"/>
    </row>
    <row r="81" spans="2:33">
      <c r="B81" s="33" t="s">
        <v>61</v>
      </c>
      <c r="C81" s="177" t="s">
        <v>781</v>
      </c>
      <c r="D81" s="445"/>
      <c r="E81" s="445"/>
      <c r="F81" s="446"/>
      <c r="H81" s="64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5"/>
      <c r="AG81" s="75"/>
    </row>
    <row r="82" spans="2:33">
      <c r="B82" s="35" t="s">
        <v>63</v>
      </c>
      <c r="C82" s="177"/>
      <c r="D82" s="440">
        <v>950000</v>
      </c>
      <c r="E82" s="440">
        <v>950000</v>
      </c>
      <c r="F82" s="441">
        <f>D82-E82</f>
        <v>0</v>
      </c>
      <c r="G82" s="77"/>
      <c r="H82" s="64"/>
    </row>
    <row r="83" spans="2:33">
      <c r="B83" s="36" t="s">
        <v>64</v>
      </c>
      <c r="C83" s="177"/>
      <c r="D83" s="440">
        <v>112480</v>
      </c>
      <c r="E83" s="440">
        <v>112480</v>
      </c>
      <c r="F83" s="441">
        <f>D83-E83</f>
        <v>0</v>
      </c>
      <c r="G83" s="77"/>
    </row>
    <row r="84" spans="2:33">
      <c r="B84" s="36" t="s">
        <v>339</v>
      </c>
      <c r="C84" s="177"/>
      <c r="D84" s="440">
        <v>20000</v>
      </c>
      <c r="E84" s="440">
        <v>20000</v>
      </c>
      <c r="F84" s="441">
        <f>D84-E84</f>
        <v>0</v>
      </c>
      <c r="G84" s="77"/>
    </row>
    <row r="85" spans="2:33">
      <c r="B85" s="38" t="s">
        <v>66</v>
      </c>
      <c r="D85" s="442">
        <v>1082480</v>
      </c>
      <c r="E85" s="442">
        <v>1082480</v>
      </c>
      <c r="F85" s="444">
        <f>D85-E85</f>
        <v>0</v>
      </c>
    </row>
    <row r="86" spans="2:33">
      <c r="B86" s="35"/>
      <c r="D86" s="445"/>
      <c r="E86" s="445"/>
      <c r="F86" s="446"/>
    </row>
    <row r="87" spans="2:33">
      <c r="B87" s="35"/>
      <c r="D87" s="445"/>
      <c r="E87" s="445"/>
      <c r="F87" s="446"/>
    </row>
    <row r="88" spans="2:33" ht="13.5" thickBot="1">
      <c r="B88" s="38" t="s">
        <v>67</v>
      </c>
      <c r="D88" s="447">
        <v>1876586.4</v>
      </c>
      <c r="E88" s="447">
        <f>'Regnskap 2016'!D95</f>
        <v>1980927.75</v>
      </c>
      <c r="F88" s="448">
        <f>D88-E88</f>
        <v>-104341.35000000009</v>
      </c>
      <c r="AF88" s="75"/>
      <c r="AG88" s="75"/>
    </row>
    <row r="89" spans="2:33" ht="13.5" thickTop="1">
      <c r="B89" s="35"/>
      <c r="D89" s="445"/>
      <c r="E89" s="445"/>
      <c r="F89" s="446"/>
      <c r="AF89" s="75"/>
      <c r="AG89" s="75"/>
    </row>
    <row r="90" spans="2:33">
      <c r="B90" s="35"/>
      <c r="D90" s="445"/>
      <c r="E90" s="445"/>
      <c r="F90" s="446"/>
      <c r="AF90" s="75"/>
      <c r="AG90" s="75"/>
    </row>
    <row r="91" spans="2:33">
      <c r="B91" s="33" t="s">
        <v>68</v>
      </c>
      <c r="D91" s="445"/>
      <c r="E91" s="445"/>
      <c r="F91" s="446"/>
      <c r="AF91" s="75"/>
      <c r="AG91" s="75"/>
    </row>
    <row r="92" spans="2:33">
      <c r="B92" s="35" t="s">
        <v>69</v>
      </c>
      <c r="C92" s="177" t="s">
        <v>792</v>
      </c>
      <c r="D92" s="440">
        <v>0</v>
      </c>
      <c r="E92" s="440">
        <f>'Regnskap 2016'!D99</f>
        <v>108794.23</v>
      </c>
      <c r="F92" s="441">
        <f>D92-E92</f>
        <v>-108794.23</v>
      </c>
      <c r="G92" s="77"/>
      <c r="AF92" s="75"/>
      <c r="AG92" s="75"/>
    </row>
    <row r="93" spans="2:33">
      <c r="B93" s="33" t="s">
        <v>70</v>
      </c>
      <c r="D93" s="442">
        <v>0</v>
      </c>
      <c r="E93" s="442">
        <v>180794</v>
      </c>
      <c r="F93" s="444">
        <f>D93-E93</f>
        <v>-180794</v>
      </c>
      <c r="H93" s="34"/>
    </row>
    <row r="94" spans="2:33">
      <c r="B94" s="35"/>
      <c r="D94" s="445"/>
      <c r="E94" s="445"/>
      <c r="F94" s="446"/>
      <c r="G94" s="152"/>
    </row>
    <row r="95" spans="2:33">
      <c r="B95" s="33" t="s">
        <v>71</v>
      </c>
      <c r="C95" s="177" t="s">
        <v>793</v>
      </c>
      <c r="D95" s="445"/>
      <c r="E95" s="445"/>
      <c r="F95" s="446"/>
    </row>
    <row r="96" spans="2:33">
      <c r="B96" s="35" t="s">
        <v>72</v>
      </c>
      <c r="C96" s="177"/>
      <c r="D96" s="440">
        <v>1082480</v>
      </c>
      <c r="E96" s="440">
        <f>'Regnskap 2016'!D103</f>
        <v>1082480</v>
      </c>
      <c r="F96" s="441">
        <f>D96-E96</f>
        <v>0</v>
      </c>
      <c r="G96" s="77"/>
      <c r="H96" s="77"/>
    </row>
    <row r="97" spans="2:31">
      <c r="B97" s="276" t="s">
        <v>687</v>
      </c>
      <c r="C97" s="177"/>
      <c r="D97" s="440">
        <v>724291.77396217501</v>
      </c>
      <c r="E97" s="440">
        <f>'Regnskap 2016'!D104</f>
        <v>723568.20573900011</v>
      </c>
      <c r="F97" s="441">
        <f>D97-E97</f>
        <v>723.56822317489423</v>
      </c>
      <c r="G97" s="77"/>
    </row>
    <row r="98" spans="2:31">
      <c r="B98" s="276" t="s">
        <v>692</v>
      </c>
      <c r="C98" s="177"/>
      <c r="D98" s="440">
        <v>69814.626037825088</v>
      </c>
      <c r="E98" s="440">
        <f>'Regnskap 2016'!D105</f>
        <v>66085.314260999919</v>
      </c>
      <c r="F98" s="441">
        <f>D98-E98</f>
        <v>3729.3117768251686</v>
      </c>
      <c r="G98" s="77"/>
    </row>
    <row r="99" spans="2:31">
      <c r="B99" s="38" t="s">
        <v>75</v>
      </c>
      <c r="D99" s="442">
        <v>1876586.4000000001</v>
      </c>
      <c r="E99" s="443">
        <f>'Regnskap 2016'!D106</f>
        <v>1872133.52</v>
      </c>
      <c r="F99" s="444">
        <f>D99-E99</f>
        <v>4452.8800000001211</v>
      </c>
    </row>
    <row r="100" spans="2:31">
      <c r="B100" s="35"/>
      <c r="D100" s="445"/>
      <c r="E100" s="445"/>
      <c r="F100" s="446"/>
    </row>
    <row r="101" spans="2:31">
      <c r="B101" s="35"/>
      <c r="D101" s="445"/>
      <c r="E101" s="445"/>
      <c r="F101" s="446"/>
    </row>
    <row r="102" spans="2:31" ht="13.5" thickBot="1">
      <c r="B102" s="33" t="s">
        <v>77</v>
      </c>
      <c r="D102" s="447">
        <v>1876586.4000000001</v>
      </c>
      <c r="E102" s="469">
        <f>'Regnskap 2016'!D109</f>
        <v>1980927.75</v>
      </c>
      <c r="F102" s="448">
        <f>D102-E102</f>
        <v>-104341.34999999986</v>
      </c>
    </row>
    <row r="103" spans="2:31" ht="13.5" thickTop="1">
      <c r="B103" s="35"/>
      <c r="D103" s="77"/>
      <c r="E103" s="77"/>
    </row>
    <row r="104" spans="2:31">
      <c r="D104" s="77"/>
      <c r="E104" s="77"/>
    </row>
    <row r="105" spans="2:31" ht="24.75">
      <c r="B105" s="552" t="s">
        <v>1056</v>
      </c>
      <c r="C105" s="552"/>
      <c r="D105" s="552"/>
      <c r="E105" s="552"/>
      <c r="F105" s="552"/>
      <c r="G105" s="552"/>
      <c r="H105" s="552"/>
      <c r="I105" s="552"/>
    </row>
    <row r="106" spans="2:31" ht="15" thickBot="1">
      <c r="D106" s="77"/>
      <c r="E106" s="77"/>
      <c r="F106" s="35"/>
      <c r="G106" s="73"/>
      <c r="K106" s="550" t="s">
        <v>1094</v>
      </c>
      <c r="L106" s="550"/>
      <c r="M106" s="550"/>
      <c r="N106" s="550"/>
    </row>
    <row r="107" spans="2:31" ht="20.25" thickBot="1">
      <c r="B107" s="148" t="s">
        <v>313</v>
      </c>
      <c r="C107" s="148"/>
      <c r="D107" s="459">
        <v>2017</v>
      </c>
      <c r="E107" s="459">
        <v>2016</v>
      </c>
      <c r="F107" s="459" t="s">
        <v>977</v>
      </c>
      <c r="G107" s="459" t="s">
        <v>314</v>
      </c>
      <c r="H107" s="340" t="s">
        <v>315</v>
      </c>
      <c r="I107" s="341" t="s">
        <v>1081</v>
      </c>
      <c r="K107" s="418" t="s">
        <v>1049</v>
      </c>
      <c r="L107" s="458" t="s">
        <v>1048</v>
      </c>
      <c r="M107" s="418" t="s">
        <v>245</v>
      </c>
      <c r="N107" s="418" t="s">
        <v>1050</v>
      </c>
    </row>
    <row r="108" spans="2:31">
      <c r="B108" s="34" t="s">
        <v>153</v>
      </c>
      <c r="C108" s="177"/>
      <c r="D108" s="77"/>
      <c r="E108" s="77"/>
      <c r="F108" s="35"/>
      <c r="G108" s="35"/>
      <c r="I108" s="325"/>
      <c r="K108" s="437">
        <v>2014</v>
      </c>
      <c r="L108" s="434">
        <v>200</v>
      </c>
      <c r="M108" s="434">
        <f>F109/L108</f>
        <v>186.565</v>
      </c>
      <c r="N108" s="434">
        <f>D109/L108</f>
        <v>194.81310000000002</v>
      </c>
    </row>
    <row r="109" spans="2:31">
      <c r="B109" t="s">
        <v>154</v>
      </c>
      <c r="C109" s="177" t="s">
        <v>378</v>
      </c>
      <c r="D109" s="155">
        <v>38962.620000000003</v>
      </c>
      <c r="E109" s="155">
        <f>'Regnskap 2016'!D116</f>
        <v>33795</v>
      </c>
      <c r="F109" s="155">
        <f>'Regnskap 2016'!I116</f>
        <v>37313</v>
      </c>
      <c r="G109" s="155">
        <f>D109-F109</f>
        <v>1649.6200000000026</v>
      </c>
      <c r="H109" s="151">
        <f>IF(F109=0,"---",G109/F109)</f>
        <v>4.4210328839814614E-2</v>
      </c>
      <c r="I109" s="326">
        <v>47250</v>
      </c>
      <c r="K109" s="437">
        <v>2013</v>
      </c>
      <c r="L109" s="434">
        <v>200</v>
      </c>
      <c r="M109" s="434">
        <v>110</v>
      </c>
      <c r="N109" s="434">
        <f>E109/L109</f>
        <v>168.97499999999999</v>
      </c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</row>
    <row r="110" spans="2:31">
      <c r="B110" t="s">
        <v>618</v>
      </c>
      <c r="C110" s="177"/>
      <c r="D110" s="155">
        <v>3748.1299999999997</v>
      </c>
      <c r="E110" s="155">
        <f>'Regnskap 2016'!D117</f>
        <v>4209.13</v>
      </c>
      <c r="F110" s="155">
        <f>'Regnskap 2016'!I117</f>
        <v>6000</v>
      </c>
      <c r="G110" s="155">
        <f>D110-F110</f>
        <v>-2251.8700000000003</v>
      </c>
      <c r="H110" s="151">
        <f>IF(F110=0,"---",G110/F110)</f>
        <v>-0.37531166666666671</v>
      </c>
      <c r="I110" s="326">
        <v>4000</v>
      </c>
      <c r="J110" s="155"/>
      <c r="K110" s="437">
        <v>2015</v>
      </c>
      <c r="L110" s="434">
        <v>300</v>
      </c>
      <c r="M110" s="434">
        <v>120</v>
      </c>
      <c r="N110" s="434">
        <v>120</v>
      </c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</row>
    <row r="111" spans="2:31">
      <c r="B111" s="79" t="s">
        <v>355</v>
      </c>
      <c r="C111" s="177" t="s">
        <v>379</v>
      </c>
      <c r="D111" s="155">
        <v>0</v>
      </c>
      <c r="E111" s="155">
        <f>'Regnskap 2016'!D118</f>
        <v>9147.84</v>
      </c>
      <c r="F111" s="155">
        <f>'Regnskap 2016'!I118</f>
        <v>10000</v>
      </c>
      <c r="G111" s="155">
        <f>D111-F111</f>
        <v>-10000</v>
      </c>
      <c r="H111" s="151">
        <f>IF(F111=0,"---",G111/F111)</f>
        <v>-1</v>
      </c>
      <c r="I111" s="326">
        <v>20000</v>
      </c>
      <c r="J111" s="155"/>
      <c r="K111" s="439">
        <v>2016</v>
      </c>
      <c r="L111" s="438">
        <v>300</v>
      </c>
      <c r="M111" s="438">
        <v>100</v>
      </c>
      <c r="N111" s="438">
        <v>113</v>
      </c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</row>
    <row r="112" spans="2:31" ht="15" customHeight="1" thickBot="1">
      <c r="B112" s="154" t="s">
        <v>158</v>
      </c>
      <c r="C112" s="306"/>
      <c r="D112" s="156">
        <v>42710.75</v>
      </c>
      <c r="E112" s="156">
        <f>'Regnskap 2016'!D119</f>
        <v>47151.97</v>
      </c>
      <c r="F112" s="156">
        <f>'Regnskap 2016'!I119</f>
        <v>53313</v>
      </c>
      <c r="G112" s="156">
        <f>SUM(G109:G111)</f>
        <v>-10602.249999999998</v>
      </c>
      <c r="H112" s="153">
        <f>IF(F112=0,"---",G112/F112)</f>
        <v>-0.19886800592725973</v>
      </c>
      <c r="I112" s="327">
        <v>71250</v>
      </c>
      <c r="J112" s="160"/>
      <c r="K112" s="439">
        <v>2017</v>
      </c>
      <c r="L112" s="438">
        <v>300</v>
      </c>
      <c r="M112" s="438">
        <v>125</v>
      </c>
      <c r="N112" s="438">
        <v>131</v>
      </c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</row>
    <row r="113" spans="2:31" ht="12.95" customHeight="1" thickTop="1">
      <c r="C113" s="177"/>
      <c r="D113" s="77"/>
      <c r="E113" s="155"/>
      <c r="F113" s="155"/>
      <c r="G113" s="77"/>
      <c r="I113" s="328"/>
      <c r="J113" s="77"/>
      <c r="K113" s="439">
        <v>2018</v>
      </c>
      <c r="L113" s="438">
        <v>350</v>
      </c>
      <c r="M113" s="438">
        <v>130</v>
      </c>
      <c r="N113" s="438">
        <v>131</v>
      </c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</row>
    <row r="114" spans="2:31">
      <c r="B114" s="34" t="s">
        <v>924</v>
      </c>
      <c r="C114" s="177"/>
      <c r="D114" s="77"/>
      <c r="E114" s="155"/>
      <c r="F114" s="155"/>
      <c r="G114" s="77"/>
      <c r="I114" s="328"/>
      <c r="J114" s="77"/>
      <c r="K114" s="77"/>
      <c r="L114" s="77"/>
      <c r="M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</row>
    <row r="115" spans="2:31">
      <c r="B115" t="s">
        <v>485</v>
      </c>
      <c r="C115" s="177" t="s">
        <v>380</v>
      </c>
      <c r="D115" s="155">
        <v>5000</v>
      </c>
      <c r="E115" s="155">
        <f>'Regnskap 2016'!D122</f>
        <v>5000</v>
      </c>
      <c r="F115" s="155">
        <f>'Regnskap 2016'!I122</f>
        <v>5000</v>
      </c>
      <c r="G115" s="155">
        <f>D115-F115</f>
        <v>0</v>
      </c>
      <c r="H115" s="151">
        <f t="shared" ref="H115:H126" si="1">IF(F115=0,"---",G115/F115)</f>
        <v>0</v>
      </c>
      <c r="I115" s="326">
        <v>8000</v>
      </c>
      <c r="J115" s="155"/>
      <c r="K115" s="155"/>
      <c r="L115" s="155"/>
      <c r="M115" s="155"/>
      <c r="N115" s="77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</row>
    <row r="116" spans="2:31">
      <c r="B116" t="s">
        <v>488</v>
      </c>
      <c r="C116" s="177" t="s">
        <v>428</v>
      </c>
      <c r="D116" s="155">
        <v>6181.95</v>
      </c>
      <c r="E116" s="155">
        <f>'Regnskap 2016'!D123</f>
        <v>8796.0500000000011</v>
      </c>
      <c r="F116" s="155">
        <f>'Regnskap 2016'!I123</f>
        <v>16000</v>
      </c>
      <c r="G116" s="155">
        <f t="shared" ref="G116:G124" si="2">D116-F116</f>
        <v>-9818.0499999999993</v>
      </c>
      <c r="H116" s="151">
        <f t="shared" si="1"/>
        <v>-0.61362812499999997</v>
      </c>
      <c r="I116" s="326">
        <v>2000</v>
      </c>
      <c r="J116" s="155"/>
      <c r="K116" s="155"/>
      <c r="L116" s="155"/>
      <c r="M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</row>
    <row r="117" spans="2:31">
      <c r="B117" t="s">
        <v>163</v>
      </c>
      <c r="C117" s="177" t="s">
        <v>430</v>
      </c>
      <c r="D117" s="155">
        <v>4011.4</v>
      </c>
      <c r="E117" s="155">
        <f>'Regnskap 2016'!D124</f>
        <v>7831.98</v>
      </c>
      <c r="F117" s="155">
        <f>'Regnskap 2016'!I124</f>
        <v>10000</v>
      </c>
      <c r="G117" s="155">
        <f t="shared" si="2"/>
        <v>-5988.6</v>
      </c>
      <c r="H117" s="151">
        <f t="shared" si="1"/>
        <v>-0.59886000000000006</v>
      </c>
      <c r="I117" s="326">
        <v>10000</v>
      </c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</row>
    <row r="118" spans="2:31">
      <c r="B118" s="277" t="s">
        <v>637</v>
      </c>
      <c r="C118" s="177" t="s">
        <v>486</v>
      </c>
      <c r="D118" s="155">
        <v>11135</v>
      </c>
      <c r="E118" s="155">
        <f>'Regnskap 2016'!D125</f>
        <v>5000</v>
      </c>
      <c r="F118" s="155">
        <f>'Regnskap 2016'!I125</f>
        <v>15000</v>
      </c>
      <c r="G118" s="155">
        <f>D118-F118</f>
        <v>-3865</v>
      </c>
      <c r="H118" s="151">
        <f>IF(F118=0,"---",G118/F118)</f>
        <v>-0.25766666666666665</v>
      </c>
      <c r="I118" s="326">
        <v>5000</v>
      </c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</row>
    <row r="119" spans="2:31">
      <c r="B119" s="277" t="s">
        <v>684</v>
      </c>
      <c r="C119" s="177" t="s">
        <v>501</v>
      </c>
      <c r="D119" s="155">
        <v>0</v>
      </c>
      <c r="E119" s="155">
        <f>'Regnskap 2016'!D126</f>
        <v>105000</v>
      </c>
      <c r="F119" s="155">
        <f>'Regnskap 2016'!I126</f>
        <v>10000</v>
      </c>
      <c r="G119" s="155">
        <f>D119-F119</f>
        <v>-10000</v>
      </c>
      <c r="H119" s="151">
        <f>IF(F119=0,"---",G119/F119)</f>
        <v>-1</v>
      </c>
      <c r="I119" s="326">
        <v>100000</v>
      </c>
      <c r="J119" s="155"/>
      <c r="K119" s="551" t="s">
        <v>1032</v>
      </c>
      <c r="L119" s="551"/>
      <c r="M119" s="551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</row>
    <row r="120" spans="2:31">
      <c r="B120" t="s">
        <v>166</v>
      </c>
      <c r="C120" s="177" t="s">
        <v>502</v>
      </c>
      <c r="D120" s="155">
        <v>7298.52</v>
      </c>
      <c r="E120" s="155">
        <f>'Regnskap 2016'!D127</f>
        <v>5229.5</v>
      </c>
      <c r="F120" s="155">
        <f>'Regnskap 2016'!I127</f>
        <v>4000</v>
      </c>
      <c r="G120" s="155">
        <f t="shared" si="2"/>
        <v>3298.5200000000004</v>
      </c>
      <c r="H120" s="151">
        <f t="shared" si="1"/>
        <v>0.82463000000000009</v>
      </c>
      <c r="I120" s="326">
        <v>14000</v>
      </c>
      <c r="J120" s="155"/>
      <c r="K120" s="434" t="s">
        <v>1046</v>
      </c>
      <c r="L120" s="155">
        <f>M113*8</f>
        <v>1040</v>
      </c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</row>
    <row r="121" spans="2:31">
      <c r="B121" t="s">
        <v>170</v>
      </c>
      <c r="C121" s="177"/>
      <c r="D121" s="155">
        <v>751</v>
      </c>
      <c r="E121" s="155">
        <f>'Regnskap 2016'!D128</f>
        <v>265</v>
      </c>
      <c r="F121" s="155">
        <f>'Regnskap 2016'!I128</f>
        <v>300</v>
      </c>
      <c r="G121" s="155">
        <f t="shared" si="2"/>
        <v>451</v>
      </c>
      <c r="H121" s="151">
        <f t="shared" si="1"/>
        <v>1.5033333333333334</v>
      </c>
      <c r="I121" s="326">
        <v>750</v>
      </c>
      <c r="J121" s="155"/>
      <c r="K121" s="435" t="s">
        <v>1047</v>
      </c>
      <c r="L121" s="282">
        <v>500</v>
      </c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</row>
    <row r="122" spans="2:31" ht="13.5" thickBot="1">
      <c r="B122" s="277" t="s">
        <v>694</v>
      </c>
      <c r="C122" s="177"/>
      <c r="D122" s="155">
        <v>1380</v>
      </c>
      <c r="E122" s="155">
        <f>'Regnskap 2016'!D129</f>
        <v>1324</v>
      </c>
      <c r="F122" s="155">
        <f>'Regnskap 2016'!I129</f>
        <v>1500</v>
      </c>
      <c r="G122" s="155">
        <f>D122-F122</f>
        <v>-120</v>
      </c>
      <c r="H122" s="151">
        <f>IF(F122=0,"---",G122/F122)</f>
        <v>-0.08</v>
      </c>
      <c r="I122" s="326">
        <v>1500</v>
      </c>
      <c r="J122" s="155"/>
      <c r="K122" s="436" t="s">
        <v>699</v>
      </c>
      <c r="L122" s="156">
        <f>L120+L121</f>
        <v>1540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</row>
    <row r="123" spans="2:31" ht="13.5" thickTop="1">
      <c r="B123" t="s">
        <v>95</v>
      </c>
      <c r="C123" s="177"/>
      <c r="D123" s="155">
        <v>0</v>
      </c>
      <c r="E123" s="155">
        <f>'Regnskap 2016'!D130</f>
        <v>0</v>
      </c>
      <c r="F123" s="155">
        <f>'Regnskap 2016'!I130</f>
        <v>0</v>
      </c>
      <c r="G123" s="155">
        <f>D123-F123</f>
        <v>0</v>
      </c>
      <c r="H123" s="151" t="str">
        <f>IF(F123=0,"---",G123/F123)</f>
        <v>---</v>
      </c>
      <c r="I123" s="326">
        <v>0</v>
      </c>
      <c r="J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</row>
    <row r="124" spans="2:31">
      <c r="B124" t="s">
        <v>169</v>
      </c>
      <c r="C124" s="177"/>
      <c r="D124" s="155">
        <v>2500</v>
      </c>
      <c r="E124" s="155">
        <f>'Regnskap 2016'!D131</f>
        <v>2500</v>
      </c>
      <c r="F124" s="155">
        <f>'Regnskap 2016'!I131</f>
        <v>2500</v>
      </c>
      <c r="G124" s="155">
        <f t="shared" si="2"/>
        <v>0</v>
      </c>
      <c r="H124" s="151">
        <f t="shared" si="1"/>
        <v>0</v>
      </c>
      <c r="I124" s="326">
        <v>2500</v>
      </c>
      <c r="J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</row>
    <row r="125" spans="2:31">
      <c r="B125" t="s">
        <v>427</v>
      </c>
      <c r="C125" s="177" t="s">
        <v>506</v>
      </c>
      <c r="D125" s="155">
        <v>0</v>
      </c>
      <c r="E125" s="155">
        <f>'Regnskap 2016'!D132</f>
        <v>0</v>
      </c>
      <c r="F125" s="155">
        <f>'Regnskap 2016'!I132</f>
        <v>0</v>
      </c>
      <c r="G125" s="155">
        <f>D125-F125</f>
        <v>0</v>
      </c>
      <c r="H125" s="151" t="str">
        <f t="shared" si="1"/>
        <v>---</v>
      </c>
      <c r="I125" s="326">
        <v>0</v>
      </c>
      <c r="J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</row>
    <row r="126" spans="2:31" ht="16.5" thickBot="1">
      <c r="B126" s="154" t="s">
        <v>931</v>
      </c>
      <c r="C126" s="306"/>
      <c r="D126" s="156">
        <v>38257.869999999995</v>
      </c>
      <c r="E126" s="156">
        <f>'Regnskap 2016'!D133</f>
        <v>140946.53</v>
      </c>
      <c r="F126" s="156">
        <f>'Regnskap 2016'!I133</f>
        <v>64300</v>
      </c>
      <c r="G126" s="156">
        <f>SUM(G115:G125)</f>
        <v>-26042.13</v>
      </c>
      <c r="H126" s="153">
        <f t="shared" si="1"/>
        <v>-0.40500979782270607</v>
      </c>
      <c r="I126" s="327">
        <v>143750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</row>
    <row r="127" spans="2:31" ht="13.5" thickTop="1">
      <c r="C127" s="177"/>
      <c r="D127" s="77"/>
      <c r="E127" s="155">
        <f>'Regnskap 2016'!D134</f>
        <v>0</v>
      </c>
      <c r="F127" s="77"/>
      <c r="G127" s="77"/>
      <c r="H127" s="77"/>
      <c r="I127" s="328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</row>
    <row r="128" spans="2:31" ht="16.5" thickBot="1">
      <c r="B128" s="154" t="s">
        <v>141</v>
      </c>
      <c r="C128" s="306"/>
      <c r="D128" s="156">
        <v>4452.8800000000047</v>
      </c>
      <c r="E128" s="156">
        <f>'Regnskap 2016'!D135</f>
        <v>-93794.559999999998</v>
      </c>
      <c r="F128" s="156">
        <f>F112-F126</f>
        <v>-10987</v>
      </c>
      <c r="G128" s="156">
        <f>G112-G126</f>
        <v>15439.880000000003</v>
      </c>
      <c r="H128" s="153">
        <f>IF(F128=0,"---",G128/F128)</f>
        <v>-1.4052862473832715</v>
      </c>
      <c r="I128" s="327">
        <v>-72500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</row>
    <row r="129" spans="2:31" ht="13.5" thickTop="1">
      <c r="C129" s="177"/>
      <c r="D129" s="77"/>
      <c r="E129" s="93"/>
      <c r="F129" s="77"/>
      <c r="G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</row>
    <row r="130" spans="2:31">
      <c r="B130" s="34" t="s">
        <v>172</v>
      </c>
      <c r="C130" s="177" t="s">
        <v>644</v>
      </c>
      <c r="D130" s="77"/>
      <c r="E130" s="93"/>
      <c r="F130" s="77"/>
      <c r="G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</row>
    <row r="131" spans="2:31">
      <c r="B131" t="s">
        <v>691</v>
      </c>
      <c r="C131" s="177"/>
      <c r="D131" s="155">
        <f>J172</f>
        <v>723.56822317484125</v>
      </c>
      <c r="E131" s="324">
        <v>1729.4451840827362</v>
      </c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</row>
    <row r="132" spans="2:31">
      <c r="B132" t="s">
        <v>693</v>
      </c>
      <c r="C132" s="177"/>
      <c r="D132" s="155">
        <f>D128-D131</f>
        <v>3729.3117768251632</v>
      </c>
      <c r="E132" s="324">
        <v>16197.244815917258</v>
      </c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</row>
    <row r="133" spans="2:31" ht="16.5" thickBot="1">
      <c r="B133" s="154" t="s">
        <v>175</v>
      </c>
      <c r="C133" s="306"/>
      <c r="D133" s="156">
        <f>SUM(D131:D132)</f>
        <v>4452.8800000000047</v>
      </c>
      <c r="E133" s="156">
        <v>17926.689999999995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</row>
    <row r="134" spans="2:31" ht="13.5" thickTop="1"/>
    <row r="135" spans="2:31" ht="13.5" thickBot="1">
      <c r="F135" s="113"/>
    </row>
    <row r="136" spans="2:31" ht="15">
      <c r="B136" s="449" t="s">
        <v>821</v>
      </c>
      <c r="C136" s="298"/>
      <c r="D136" s="299">
        <f>ROUND(D88-D102,0)</f>
        <v>0</v>
      </c>
      <c r="E136" s="304" t="str">
        <f>IF(D136=0,"OK","Feil")</f>
        <v>OK</v>
      </c>
      <c r="F136" s="113"/>
    </row>
    <row r="137" spans="2:31" ht="15.75" thickBot="1">
      <c r="B137" s="450" t="s">
        <v>822</v>
      </c>
      <c r="C137" s="28"/>
      <c r="D137" s="301">
        <f>ROUND(D99-E99-D133,0)</f>
        <v>0</v>
      </c>
      <c r="E137" s="305" t="str">
        <f>IF(D137=0,"OK","Feil")</f>
        <v>OK</v>
      </c>
      <c r="F137" s="113"/>
    </row>
    <row r="138" spans="2:31">
      <c r="F138" s="77"/>
    </row>
    <row r="139" spans="2:31">
      <c r="F139" s="77"/>
    </row>
    <row r="140" spans="2:31">
      <c r="F140" s="77"/>
    </row>
    <row r="141" spans="2:31" ht="24.75">
      <c r="B141" s="552" t="s">
        <v>1004</v>
      </c>
      <c r="C141" s="552"/>
      <c r="D141" s="552"/>
      <c r="E141" s="552"/>
      <c r="F141" s="552"/>
      <c r="G141" s="552"/>
      <c r="H141" s="552"/>
      <c r="I141" s="552"/>
      <c r="J141" s="552"/>
    </row>
    <row r="142" spans="2:31">
      <c r="B142" s="34"/>
      <c r="D142" s="77"/>
      <c r="F142" s="77"/>
    </row>
    <row r="143" spans="2:31" ht="14.25">
      <c r="B143" s="425" t="s">
        <v>1008</v>
      </c>
      <c r="C143" s="277" t="s">
        <v>799</v>
      </c>
      <c r="D143" s="77"/>
      <c r="F143" s="425" t="s">
        <v>809</v>
      </c>
      <c r="H143" s="77"/>
      <c r="I143" s="77"/>
    </row>
    <row r="144" spans="2:31">
      <c r="B144" s="413" t="s">
        <v>952</v>
      </c>
      <c r="C144" s="37">
        <v>130</v>
      </c>
      <c r="D144" s="97">
        <v>37313</v>
      </c>
      <c r="F144" s="553" t="s">
        <v>1028</v>
      </c>
      <c r="G144" s="553"/>
      <c r="J144" s="77">
        <v>872.5</v>
      </c>
    </row>
    <row r="145" spans="2:10">
      <c r="B145" s="413" t="s">
        <v>953</v>
      </c>
      <c r="C145" s="37">
        <v>135</v>
      </c>
      <c r="D145" s="97">
        <v>38962</v>
      </c>
      <c r="F145" s="554" t="s">
        <v>1087</v>
      </c>
      <c r="G145" s="554"/>
      <c r="J145" s="77">
        <v>2206</v>
      </c>
    </row>
    <row r="146" spans="2:10">
      <c r="B146" s="401" t="s">
        <v>197</v>
      </c>
      <c r="C146" s="31">
        <f>SUM(C145:C145)</f>
        <v>135</v>
      </c>
      <c r="D146" s="402">
        <f>SUM(D145:D145)</f>
        <v>38962</v>
      </c>
      <c r="F146" s="554" t="s">
        <v>1086</v>
      </c>
      <c r="G146" s="554"/>
      <c r="J146" s="77">
        <v>90.6</v>
      </c>
    </row>
    <row r="147" spans="2:10">
      <c r="B147" s="277"/>
      <c r="D147" s="93"/>
      <c r="F147" s="554" t="s">
        <v>879</v>
      </c>
      <c r="G147" s="554"/>
      <c r="J147" s="77">
        <v>4129.42</v>
      </c>
    </row>
    <row r="148" spans="2:10">
      <c r="B148" s="344" t="s">
        <v>1083</v>
      </c>
      <c r="C148" s="345"/>
      <c r="D148" s="346"/>
      <c r="F148" s="555" t="s">
        <v>970</v>
      </c>
      <c r="G148" s="555"/>
      <c r="J148" s="77">
        <v>0</v>
      </c>
    </row>
    <row r="149" spans="2:10" ht="13.5" thickBot="1">
      <c r="B149" s="397">
        <v>350</v>
      </c>
      <c r="C149" s="398">
        <v>135</v>
      </c>
      <c r="D149" s="399">
        <f>SUM(B149*C149)</f>
        <v>47250</v>
      </c>
      <c r="F149" s="381" t="s">
        <v>197</v>
      </c>
      <c r="G149" s="200"/>
      <c r="H149" s="200"/>
      <c r="I149" s="200"/>
      <c r="J149" s="175">
        <f>SUM(J144:J148)</f>
        <v>7298.52</v>
      </c>
    </row>
    <row r="150" spans="2:10" ht="14.25" thickTop="1" thickBot="1">
      <c r="B150" s="423" t="s">
        <v>197</v>
      </c>
      <c r="C150" s="423"/>
      <c r="D150" s="424">
        <f>SUM(D149:D149)</f>
        <v>47250</v>
      </c>
      <c r="J150" s="77"/>
    </row>
    <row r="151" spans="2:10" ht="13.5" thickTop="1">
      <c r="D151" s="77"/>
      <c r="F151" s="556" t="s">
        <v>1083</v>
      </c>
      <c r="G151" s="556"/>
      <c r="H151" s="347"/>
      <c r="I151" s="347"/>
      <c r="J151" s="346"/>
    </row>
    <row r="152" spans="2:10" ht="14.25">
      <c r="B152" s="425" t="s">
        <v>796</v>
      </c>
      <c r="D152" s="77"/>
      <c r="F152" s="470" t="s">
        <v>1087</v>
      </c>
      <c r="G152" s="462"/>
      <c r="H152" s="347"/>
      <c r="I152" s="347"/>
      <c r="J152" s="346">
        <v>4200</v>
      </c>
    </row>
    <row r="153" spans="2:10">
      <c r="B153" s="413" t="s">
        <v>782</v>
      </c>
      <c r="D153" s="77">
        <v>0</v>
      </c>
      <c r="F153" s="470" t="s">
        <v>1028</v>
      </c>
      <c r="G153" s="462"/>
      <c r="H153" s="347"/>
      <c r="I153" s="347"/>
      <c r="J153" s="346">
        <v>900</v>
      </c>
    </row>
    <row r="154" spans="2:10">
      <c r="B154" s="460" t="s">
        <v>1012</v>
      </c>
      <c r="D154" s="77">
        <v>0</v>
      </c>
      <c r="F154" s="557" t="s">
        <v>879</v>
      </c>
      <c r="G154" s="558"/>
      <c r="H154" s="347"/>
      <c r="I154" s="347"/>
      <c r="J154" s="346">
        <v>4000</v>
      </c>
    </row>
    <row r="155" spans="2:10" ht="13.5" thickBot="1">
      <c r="B155" s="199" t="s">
        <v>197</v>
      </c>
      <c r="C155" s="199"/>
      <c r="D155" s="175">
        <f>SUM(D153:D154)</f>
        <v>0</v>
      </c>
      <c r="F155" s="557" t="s">
        <v>810</v>
      </c>
      <c r="G155" s="558"/>
      <c r="H155" s="347"/>
      <c r="I155" s="347"/>
      <c r="J155" s="346">
        <v>900</v>
      </c>
    </row>
    <row r="156" spans="2:10" ht="14.25" thickTop="1" thickBot="1">
      <c r="D156" s="77"/>
      <c r="F156" s="549" t="s">
        <v>197</v>
      </c>
      <c r="G156" s="549"/>
      <c r="H156" s="423"/>
      <c r="I156" s="423"/>
      <c r="J156" s="424">
        <f>SUM(J152:J155)</f>
        <v>10000</v>
      </c>
    </row>
    <row r="157" spans="2:10" ht="13.5" thickTop="1">
      <c r="B157" s="344" t="s">
        <v>1083</v>
      </c>
      <c r="C157" s="345"/>
      <c r="D157" s="346"/>
      <c r="H157" s="77"/>
    </row>
    <row r="158" spans="2:10" ht="14.1" customHeight="1">
      <c r="B158" s="397" t="s">
        <v>1022</v>
      </c>
      <c r="C158" s="398"/>
      <c r="D158" s="399">
        <v>20000</v>
      </c>
      <c r="H158" s="77"/>
    </row>
    <row r="159" spans="2:10" ht="14.25">
      <c r="B159" s="397" t="s">
        <v>1021</v>
      </c>
      <c r="C159" s="398"/>
      <c r="D159" s="399">
        <v>0</v>
      </c>
      <c r="F159" s="425" t="s">
        <v>811</v>
      </c>
    </row>
    <row r="160" spans="2:10" ht="13.5" thickBot="1">
      <c r="B160" s="426" t="s">
        <v>197</v>
      </c>
      <c r="C160" s="423"/>
      <c r="D160" s="424">
        <f>SUM(D158:D159)</f>
        <v>20000</v>
      </c>
      <c r="F160" s="544" t="s">
        <v>1045</v>
      </c>
      <c r="G160" s="544"/>
      <c r="H160" s="544"/>
      <c r="I160" s="544"/>
    </row>
    <row r="161" spans="2:10" ht="13.5" thickTop="1">
      <c r="B161" s="277"/>
      <c r="C161" s="34"/>
      <c r="D161" s="294"/>
      <c r="F161" s="544"/>
      <c r="G161" s="544"/>
      <c r="H161" s="544"/>
      <c r="I161" s="544"/>
    </row>
    <row r="162" spans="2:10" ht="15" thickBot="1">
      <c r="B162" s="425" t="s">
        <v>797</v>
      </c>
      <c r="D162" s="77"/>
      <c r="F162" s="545" t="s">
        <v>197</v>
      </c>
      <c r="G162" s="545"/>
      <c r="H162" s="270"/>
      <c r="I162" s="270"/>
      <c r="J162" s="427">
        <v>0</v>
      </c>
    </row>
    <row r="163" spans="2:10" ht="13.5" thickTop="1">
      <c r="B163" s="277" t="s">
        <v>674</v>
      </c>
      <c r="D163" s="288">
        <v>5000</v>
      </c>
    </row>
    <row r="164" spans="2:10">
      <c r="B164" s="277" t="s">
        <v>1098</v>
      </c>
      <c r="D164" s="288">
        <v>3000</v>
      </c>
    </row>
    <row r="165" spans="2:10" ht="15" thickBot="1">
      <c r="B165" s="199" t="s">
        <v>197</v>
      </c>
      <c r="C165" s="266"/>
      <c r="D165" s="175">
        <f>SUM(D163:D164)</f>
        <v>8000</v>
      </c>
      <c r="F165" s="425" t="s">
        <v>812</v>
      </c>
    </row>
    <row r="166" spans="2:10" ht="13.5" thickTop="1">
      <c r="D166" s="77"/>
      <c r="F166" s="277" t="s">
        <v>830</v>
      </c>
      <c r="J166" s="311">
        <f>D128</f>
        <v>4452.8800000000047</v>
      </c>
    </row>
    <row r="167" spans="2:10">
      <c r="B167" s="344" t="s">
        <v>1083</v>
      </c>
      <c r="C167" s="347"/>
      <c r="D167" s="346"/>
      <c r="F167" s="279"/>
    </row>
    <row r="168" spans="2:10">
      <c r="B168" s="348" t="s">
        <v>674</v>
      </c>
      <c r="C168" s="347"/>
      <c r="D168" s="346">
        <v>5000</v>
      </c>
      <c r="F168" t="s">
        <v>893</v>
      </c>
      <c r="J168" s="309">
        <v>829977.98</v>
      </c>
    </row>
    <row r="169" spans="2:10">
      <c r="B169" s="415" t="s">
        <v>1013</v>
      </c>
      <c r="C169" s="350"/>
      <c r="D169" s="351">
        <v>0</v>
      </c>
      <c r="F169" t="s">
        <v>704</v>
      </c>
      <c r="I169" s="316">
        <f>IFERROR(J169/J168,0)</f>
        <v>0.87179205132526538</v>
      </c>
      <c r="J169" s="311">
        <f>AS9</f>
        <v>723568.20573900011</v>
      </c>
    </row>
    <row r="170" spans="2:10" ht="13.5" thickBot="1">
      <c r="B170" s="426" t="s">
        <v>197</v>
      </c>
      <c r="C170" s="423"/>
      <c r="D170" s="424">
        <f>SUM(D168:D169)</f>
        <v>5000</v>
      </c>
      <c r="F170" s="413" t="s">
        <v>841</v>
      </c>
      <c r="I170" s="37"/>
      <c r="J170" s="420">
        <v>4149.8900000000003</v>
      </c>
    </row>
    <row r="171" spans="2:10" ht="13.5" thickTop="1">
      <c r="B171" s="277"/>
      <c r="C171" s="34"/>
      <c r="D171" s="294"/>
      <c r="F171" s="421" t="s">
        <v>829</v>
      </c>
      <c r="G171" s="31"/>
      <c r="H171" s="31"/>
      <c r="I171" s="31"/>
      <c r="J171" s="422">
        <f>IFERROR(J170*I169,0)</f>
        <v>3617.841115874206</v>
      </c>
    </row>
    <row r="172" spans="2:10" ht="15" thickBot="1">
      <c r="B172" s="425" t="s">
        <v>800</v>
      </c>
      <c r="C172" s="82"/>
      <c r="D172" s="201"/>
      <c r="F172" s="199" t="s">
        <v>1044</v>
      </c>
      <c r="G172" s="266"/>
      <c r="H172" s="266"/>
      <c r="I172" s="199"/>
      <c r="J172" s="313">
        <f>IFERROR(J171*0.2,0)</f>
        <v>723.56822317484125</v>
      </c>
    </row>
    <row r="173" spans="2:10" ht="13.5" thickTop="1">
      <c r="B173" s="460" t="s">
        <v>628</v>
      </c>
      <c r="C173" s="82"/>
      <c r="D173" s="471">
        <v>3798</v>
      </c>
      <c r="F173" s="33"/>
      <c r="I173" s="33"/>
      <c r="J173" s="65"/>
    </row>
    <row r="174" spans="2:10">
      <c r="B174" s="277" t="s">
        <v>1090</v>
      </c>
      <c r="C174" s="82"/>
      <c r="D174" s="471">
        <v>419</v>
      </c>
      <c r="E174" s="65"/>
      <c r="F174" s="68" t="s">
        <v>832</v>
      </c>
      <c r="G174" s="31"/>
      <c r="H174" s="31"/>
      <c r="I174" s="68"/>
      <c r="J174" s="419">
        <f>IFERROR(J166-J172,"")</f>
        <v>3729.3117768251632</v>
      </c>
    </row>
    <row r="175" spans="2:10">
      <c r="B175" s="277" t="s">
        <v>651</v>
      </c>
      <c r="C175" s="82"/>
      <c r="D175" s="471">
        <v>704</v>
      </c>
      <c r="E175" s="64"/>
    </row>
    <row r="176" spans="2:10">
      <c r="B176" s="460" t="s">
        <v>1014</v>
      </c>
      <c r="C176" s="82"/>
      <c r="D176" s="64">
        <v>911.38</v>
      </c>
      <c r="E176" s="64"/>
    </row>
    <row r="177" spans="2:10" ht="14.25">
      <c r="B177" s="460" t="s">
        <v>1015</v>
      </c>
      <c r="C177" s="82"/>
      <c r="D177" s="64">
        <v>350</v>
      </c>
      <c r="E177" s="64"/>
      <c r="F177" s="425" t="s">
        <v>813</v>
      </c>
      <c r="H177" s="77"/>
    </row>
    <row r="178" spans="2:10" ht="13.5" thickBot="1">
      <c r="B178" s="199" t="s">
        <v>197</v>
      </c>
      <c r="C178" s="200"/>
      <c r="D178" s="175">
        <f>SUM(D173:D177)</f>
        <v>6182.38</v>
      </c>
      <c r="E178" s="64"/>
      <c r="F178" s="277"/>
      <c r="J178" s="77"/>
    </row>
    <row r="179" spans="2:10" ht="13.5" thickTop="1">
      <c r="B179" s="34"/>
      <c r="C179" s="34"/>
      <c r="D179" s="77"/>
      <c r="E179" s="64"/>
      <c r="F179" s="277" t="s">
        <v>1088</v>
      </c>
      <c r="J179" s="77">
        <v>200</v>
      </c>
    </row>
    <row r="180" spans="2:10" ht="13.5" thickBot="1">
      <c r="B180" s="344" t="s">
        <v>1083</v>
      </c>
      <c r="C180" s="352"/>
      <c r="D180" s="346"/>
      <c r="E180" s="64"/>
      <c r="F180" s="199" t="s">
        <v>197</v>
      </c>
      <c r="G180" s="200"/>
      <c r="H180" s="266"/>
      <c r="I180" s="266"/>
      <c r="J180" s="175">
        <f>SUM(J178:J179)</f>
        <v>200</v>
      </c>
    </row>
    <row r="181" spans="2:10" ht="13.5" thickTop="1">
      <c r="B181" s="396" t="s">
        <v>628</v>
      </c>
      <c r="C181" s="352"/>
      <c r="D181" s="346">
        <v>0</v>
      </c>
      <c r="E181" s="64"/>
    </row>
    <row r="182" spans="2:10" ht="14.25">
      <c r="B182" s="349" t="s">
        <v>1097</v>
      </c>
      <c r="C182" s="354"/>
      <c r="D182" s="351">
        <v>2000</v>
      </c>
      <c r="E182" s="64"/>
      <c r="F182" s="425" t="s">
        <v>816</v>
      </c>
    </row>
    <row r="183" spans="2:10" ht="13.5" thickBot="1">
      <c r="B183" s="426" t="s">
        <v>197</v>
      </c>
      <c r="C183" s="423"/>
      <c r="D183" s="424">
        <f>SUM(D181:D182)</f>
        <v>2000</v>
      </c>
      <c r="F183" s="79" t="s">
        <v>574</v>
      </c>
      <c r="J183" s="77">
        <v>950000</v>
      </c>
    </row>
    <row r="184" spans="2:10" ht="13.5" thickTop="1">
      <c r="B184" s="34"/>
      <c r="C184" s="34"/>
      <c r="D184" s="294"/>
      <c r="F184" s="79" t="s">
        <v>575</v>
      </c>
    </row>
    <row r="185" spans="2:10" ht="14.25">
      <c r="B185" s="425" t="s">
        <v>803</v>
      </c>
      <c r="D185" s="77"/>
      <c r="F185" s="79" t="s">
        <v>576</v>
      </c>
    </row>
    <row r="186" spans="2:10">
      <c r="B186" s="460" t="s">
        <v>1018</v>
      </c>
      <c r="D186" s="77">
        <v>3885.4</v>
      </c>
      <c r="F186" s="79" t="s">
        <v>577</v>
      </c>
    </row>
    <row r="187" spans="2:10">
      <c r="B187" s="461" t="s">
        <v>990</v>
      </c>
      <c r="C187" s="82"/>
      <c r="D187" s="64">
        <v>126</v>
      </c>
    </row>
    <row r="188" spans="2:10" ht="13.5" thickBot="1">
      <c r="B188" s="199" t="s">
        <v>197</v>
      </c>
      <c r="C188" s="200"/>
      <c r="D188" s="175">
        <f>SUM(D186:D187)</f>
        <v>4011.4</v>
      </c>
      <c r="F188" s="79" t="s">
        <v>586</v>
      </c>
      <c r="J188" s="77">
        <v>112480</v>
      </c>
    </row>
    <row r="189" spans="2:10" ht="13.5" thickTop="1">
      <c r="B189" s="460"/>
      <c r="D189" s="77"/>
      <c r="F189" s="79" t="s">
        <v>587</v>
      </c>
      <c r="G189" s="254"/>
      <c r="J189" s="254"/>
    </row>
    <row r="190" spans="2:10">
      <c r="B190" s="344" t="s">
        <v>1083</v>
      </c>
      <c r="C190" s="347"/>
      <c r="D190" s="346"/>
      <c r="F190" s="79" t="s">
        <v>578</v>
      </c>
    </row>
    <row r="191" spans="2:10">
      <c r="B191" s="348" t="s">
        <v>1092</v>
      </c>
      <c r="C191" s="347"/>
      <c r="D191" s="346">
        <v>6000</v>
      </c>
    </row>
    <row r="192" spans="2:10">
      <c r="B192" s="348" t="s">
        <v>1091</v>
      </c>
      <c r="C192" s="347"/>
      <c r="D192" s="346">
        <v>4000</v>
      </c>
      <c r="F192" s="79" t="s">
        <v>585</v>
      </c>
      <c r="J192" s="77">
        <f>5000+15000</f>
        <v>20000</v>
      </c>
    </row>
    <row r="193" spans="2:31" ht="13.5" thickBot="1">
      <c r="B193" s="426" t="s">
        <v>197</v>
      </c>
      <c r="C193" s="423"/>
      <c r="D193" s="424">
        <f>SUM(D191:D192)</f>
        <v>10000</v>
      </c>
      <c r="F193" s="79" t="s">
        <v>579</v>
      </c>
    </row>
    <row r="194" spans="2:31" ht="13.5" thickTop="1">
      <c r="B194" s="460"/>
      <c r="D194" s="77"/>
      <c r="F194" s="79" t="s">
        <v>580</v>
      </c>
    </row>
    <row r="195" spans="2:31" ht="15" thickBot="1">
      <c r="B195" s="425" t="s">
        <v>805</v>
      </c>
      <c r="D195" s="77"/>
      <c r="F195" s="199" t="s">
        <v>197</v>
      </c>
      <c r="G195" s="255"/>
      <c r="H195" s="255"/>
      <c r="I195" s="255"/>
      <c r="J195" s="175">
        <f>SUM(J183:J194)</f>
        <v>1082480</v>
      </c>
    </row>
    <row r="196" spans="2:31" ht="13.5" thickTop="1">
      <c r="B196" s="460" t="s">
        <v>968</v>
      </c>
      <c r="D196" s="77">
        <v>0</v>
      </c>
      <c r="F196" s="256"/>
      <c r="H196" s="77"/>
    </row>
    <row r="197" spans="2:31">
      <c r="B197" s="277" t="s">
        <v>921</v>
      </c>
      <c r="D197" s="77">
        <v>5000</v>
      </c>
    </row>
    <row r="198" spans="2:31" ht="15" thickBot="1">
      <c r="B198" s="199" t="s">
        <v>197</v>
      </c>
      <c r="C198" s="200"/>
      <c r="D198" s="175">
        <f>SUM(D196:D197)</f>
        <v>5000</v>
      </c>
      <c r="F198" s="425" t="s">
        <v>817</v>
      </c>
    </row>
    <row r="199" spans="2:31" ht="13.5" thickTop="1">
      <c r="D199" s="77"/>
      <c r="F199" s="546"/>
      <c r="G199" s="546"/>
      <c r="H199" s="546"/>
      <c r="J199">
        <v>0</v>
      </c>
    </row>
    <row r="200" spans="2:31">
      <c r="B200" s="344" t="s">
        <v>1083</v>
      </c>
      <c r="C200" s="347"/>
      <c r="D200" s="346"/>
      <c r="F200" s="547"/>
      <c r="G200" s="547"/>
      <c r="H200" s="547"/>
      <c r="J200">
        <v>0</v>
      </c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</row>
    <row r="201" spans="2:31" ht="13.5" thickBot="1">
      <c r="B201" s="348" t="s">
        <v>1093</v>
      </c>
      <c r="C201" s="347"/>
      <c r="D201" s="346">
        <v>0</v>
      </c>
      <c r="F201" s="270" t="s">
        <v>197</v>
      </c>
      <c r="G201" s="266"/>
      <c r="H201" s="266"/>
      <c r="I201" s="175"/>
      <c r="J201" s="286">
        <f>SUM(J199:J200)</f>
        <v>0</v>
      </c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</row>
    <row r="202" spans="2:31" ht="13.5" thickTop="1">
      <c r="B202" s="396" t="s">
        <v>1020</v>
      </c>
      <c r="C202" s="347"/>
      <c r="D202" s="346">
        <v>5000</v>
      </c>
      <c r="I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</row>
    <row r="203" spans="2:31" ht="13.5" thickBot="1">
      <c r="B203" s="426" t="s">
        <v>197</v>
      </c>
      <c r="C203" s="423"/>
      <c r="D203" s="424">
        <f>SUM(D201:D202)</f>
        <v>5000</v>
      </c>
      <c r="I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</row>
    <row r="204" spans="2:31" ht="15" thickTop="1">
      <c r="D204" s="77"/>
      <c r="F204" s="425" t="s">
        <v>820</v>
      </c>
      <c r="G204" s="302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</row>
    <row r="205" spans="2:31" ht="14.25">
      <c r="B205" s="425" t="s">
        <v>806</v>
      </c>
      <c r="D205" s="77"/>
      <c r="F205" s="277" t="s">
        <v>688</v>
      </c>
      <c r="J205" s="315">
        <f>D96</f>
        <v>1082480</v>
      </c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</row>
    <row r="206" spans="2:31">
      <c r="B206" s="277" t="s">
        <v>1089</v>
      </c>
      <c r="D206" s="77">
        <v>105000</v>
      </c>
      <c r="F206" s="277"/>
      <c r="J206" s="77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spans="2:31">
      <c r="B207" s="277" t="s">
        <v>1095</v>
      </c>
      <c r="D207" s="77"/>
      <c r="F207" s="303" t="s">
        <v>824</v>
      </c>
      <c r="I207" s="311">
        <f>E97</f>
        <v>723568.20573900011</v>
      </c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</row>
    <row r="208" spans="2:31" ht="13.5" thickBot="1">
      <c r="B208" s="199" t="s">
        <v>197</v>
      </c>
      <c r="C208" s="200"/>
      <c r="D208" s="175">
        <f>SUM(D206:D207)</f>
        <v>105000</v>
      </c>
      <c r="F208" s="302" t="s">
        <v>825</v>
      </c>
      <c r="I208" s="311">
        <f>D131</f>
        <v>723.56822317484125</v>
      </c>
      <c r="J208" s="315">
        <f>I207+I208</f>
        <v>724291.77396217501</v>
      </c>
    </row>
    <row r="209" spans="2:31" ht="13.5" thickTop="1">
      <c r="F209" s="277"/>
      <c r="J209" s="77"/>
    </row>
    <row r="210" spans="2:31">
      <c r="B210" s="344" t="s">
        <v>1083</v>
      </c>
      <c r="C210" s="347"/>
      <c r="D210" s="347"/>
      <c r="F210" s="277" t="s">
        <v>823</v>
      </c>
      <c r="I210" s="311">
        <f>E98</f>
        <v>66085.314260999919</v>
      </c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2:31">
      <c r="B211" s="486" t="s">
        <v>1027</v>
      </c>
      <c r="C211" s="347"/>
      <c r="D211" s="347"/>
      <c r="F211" s="302" t="s">
        <v>825</v>
      </c>
      <c r="I211" s="311">
        <f>D132</f>
        <v>3729.3117768251632</v>
      </c>
      <c r="J211" s="315">
        <f>I210+I211</f>
        <v>69814.626037825088</v>
      </c>
    </row>
    <row r="212" spans="2:31">
      <c r="B212" s="548" t="s">
        <v>1096</v>
      </c>
      <c r="C212" s="548"/>
      <c r="D212" s="355">
        <v>100000</v>
      </c>
      <c r="F212" s="277"/>
      <c r="J212" s="77"/>
    </row>
    <row r="213" spans="2:31" ht="13.5" thickBot="1">
      <c r="B213" s="426" t="s">
        <v>197</v>
      </c>
      <c r="C213" s="423"/>
      <c r="D213" s="428">
        <f>SUM(D212:D212)</f>
        <v>100000</v>
      </c>
      <c r="F213" s="199" t="s">
        <v>197</v>
      </c>
      <c r="G213" s="266"/>
      <c r="H213" s="266"/>
      <c r="I213" s="200"/>
      <c r="J213" s="175">
        <f>SUM(J205:J212)</f>
        <v>1876586.4000000001</v>
      </c>
    </row>
    <row r="214" spans="2:31" ht="13.5" thickTop="1">
      <c r="C214" s="34"/>
      <c r="D214" s="296"/>
    </row>
    <row r="216" spans="2:31">
      <c r="E216" s="77"/>
    </row>
    <row r="224" spans="2:31"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</row>
    <row r="225" spans="6:31">
      <c r="F225" s="34"/>
      <c r="G225" s="82"/>
      <c r="H225" s="82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</row>
    <row r="226" spans="6:31">
      <c r="F226" s="34"/>
      <c r="G226" s="82"/>
      <c r="H226" s="82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</row>
    <row r="227" spans="6:31"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</row>
    <row r="228" spans="6:31"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</row>
    <row r="229" spans="6:31"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</row>
    <row r="230" spans="6:31"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</row>
    <row r="231" spans="6:31">
      <c r="J231" s="65"/>
    </row>
    <row r="255" spans="10:31"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</row>
    <row r="256" spans="10:31">
      <c r="J256" s="65"/>
    </row>
    <row r="262" spans="1:10" s="254" customFormat="1">
      <c r="A262"/>
      <c r="B262"/>
      <c r="C262"/>
      <c r="D262"/>
      <c r="E262"/>
      <c r="F262"/>
      <c r="G262"/>
      <c r="H262"/>
      <c r="I262"/>
      <c r="J262"/>
    </row>
    <row r="263" spans="1:10">
      <c r="A263" s="254"/>
      <c r="B263" s="254"/>
      <c r="C263" s="254"/>
      <c r="D263" s="254"/>
      <c r="E263" s="254"/>
      <c r="F263" s="254"/>
      <c r="G263" s="254"/>
      <c r="H263" s="254"/>
      <c r="I263" s="254"/>
      <c r="J263" s="254"/>
    </row>
    <row r="307" spans="2:4">
      <c r="D307" s="77"/>
    </row>
    <row r="308" spans="2:4">
      <c r="B308" s="177"/>
      <c r="D308" s="77"/>
    </row>
    <row r="309" spans="2:4">
      <c r="B309" s="34"/>
      <c r="D309" s="77"/>
    </row>
    <row r="310" spans="2:4">
      <c r="D310" s="77"/>
    </row>
    <row r="311" spans="2:4">
      <c r="D311" s="77"/>
    </row>
  </sheetData>
  <mergeCells count="69">
    <mergeCell ref="B212:C212"/>
    <mergeCell ref="F145:G145"/>
    <mergeCell ref="AJ6:AK6"/>
    <mergeCell ref="B68:C68"/>
    <mergeCell ref="X6:Y6"/>
    <mergeCell ref="L6:M6"/>
    <mergeCell ref="N6:O6"/>
    <mergeCell ref="P6:Q6"/>
    <mergeCell ref="R6:S6"/>
    <mergeCell ref="T6:U6"/>
    <mergeCell ref="V6:W6"/>
    <mergeCell ref="Z6:AA6"/>
    <mergeCell ref="AB6:AC6"/>
    <mergeCell ref="AD6:AE6"/>
    <mergeCell ref="AF6:AG6"/>
    <mergeCell ref="AH6:AI6"/>
    <mergeCell ref="A1:G1"/>
    <mergeCell ref="D6:E6"/>
    <mergeCell ref="F6:G6"/>
    <mergeCell ref="H6:I6"/>
    <mergeCell ref="J6:K6"/>
    <mergeCell ref="AX6:AY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L6:AM6"/>
    <mergeCell ref="AN6:AO6"/>
    <mergeCell ref="AP6:AQ6"/>
    <mergeCell ref="AR6:AS6"/>
    <mergeCell ref="AT6:AU6"/>
    <mergeCell ref="AV6:AW6"/>
    <mergeCell ref="K119:M119"/>
    <mergeCell ref="AH7:AI7"/>
    <mergeCell ref="AJ7:AK7"/>
    <mergeCell ref="AL7:AM7"/>
    <mergeCell ref="AN7:AO7"/>
    <mergeCell ref="V7:W7"/>
    <mergeCell ref="X7:Y7"/>
    <mergeCell ref="Z7:AA7"/>
    <mergeCell ref="AB7:AC7"/>
    <mergeCell ref="AD7:AE7"/>
    <mergeCell ref="AF7:AG7"/>
    <mergeCell ref="K106:N106"/>
    <mergeCell ref="AT7:AU7"/>
    <mergeCell ref="AV7:AW7"/>
    <mergeCell ref="AX7:AY7"/>
    <mergeCell ref="B70:F70"/>
    <mergeCell ref="B105:I105"/>
    <mergeCell ref="AP7:AQ7"/>
    <mergeCell ref="AR7:AS7"/>
    <mergeCell ref="B141:J141"/>
    <mergeCell ref="F144:G144"/>
    <mergeCell ref="F146:G146"/>
    <mergeCell ref="F199:H199"/>
    <mergeCell ref="F200:H200"/>
    <mergeCell ref="F148:G148"/>
    <mergeCell ref="F151:G151"/>
    <mergeCell ref="F155:G155"/>
    <mergeCell ref="F156:G156"/>
    <mergeCell ref="F160:I161"/>
    <mergeCell ref="F162:G162"/>
    <mergeCell ref="F154:G154"/>
    <mergeCell ref="F147:G147"/>
  </mergeCells>
  <conditionalFormatting sqref="E136:E137">
    <cfRule type="cellIs" dxfId="9" priority="1" operator="equal">
      <formula>"Feil"</formula>
    </cfRule>
    <cfRule type="cellIs" dxfId="8" priority="2" operator="equal">
      <formula>"OK"</formula>
    </cfRule>
  </conditionalFormatting>
  <pageMargins left="0.7" right="0.7" top="0.75" bottom="0.75" header="0.3" footer="0.3"/>
  <pageSetup paperSize="9" orientation="landscape" verticalDpi="0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D317"/>
  <sheetViews>
    <sheetView topLeftCell="A106" zoomScale="80" zoomScaleNormal="80" zoomScalePageLayoutView="110" workbookViewId="0">
      <selection activeCell="F30" sqref="F30"/>
    </sheetView>
  </sheetViews>
  <sheetFormatPr baseColWidth="10" defaultColWidth="10.85546875" defaultRowHeight="12.75"/>
  <cols>
    <col min="1" max="1" width="10.140625" bestFit="1" customWidth="1"/>
    <col min="2" max="2" width="41.28515625" customWidth="1"/>
    <col min="3" max="3" width="7.85546875" customWidth="1"/>
    <col min="4" max="5" width="13.85546875" customWidth="1"/>
    <col min="6" max="11" width="13.42578125" customWidth="1"/>
    <col min="12" max="51" width="13.85546875" customWidth="1"/>
    <col min="52" max="71" width="12.7109375" customWidth="1"/>
  </cols>
  <sheetData>
    <row r="1" spans="1:238" s="37" customFormat="1" ht="37.5">
      <c r="A1" s="569" t="s">
        <v>1051</v>
      </c>
      <c r="B1" s="570"/>
      <c r="C1" s="570"/>
      <c r="D1" s="570"/>
      <c r="E1" s="570"/>
      <c r="F1" s="570"/>
      <c r="G1" s="570"/>
    </row>
    <row r="2" spans="1:238" s="37" customFormat="1" ht="15" customHeight="1" thickBot="1">
      <c r="A2" s="451"/>
      <c r="B2" s="451"/>
      <c r="C2" s="451"/>
    </row>
    <row r="3" spans="1:238" s="37" customFormat="1" ht="14.25">
      <c r="A3" s="452" t="s">
        <v>510</v>
      </c>
      <c r="B3" s="209"/>
      <c r="C3" s="209"/>
    </row>
    <row r="4" spans="1:238" s="37" customFormat="1" ht="14.25">
      <c r="A4" s="453" t="s">
        <v>153</v>
      </c>
      <c r="B4" s="210"/>
      <c r="C4" s="210"/>
    </row>
    <row r="5" spans="1:238" s="37" customFormat="1" ht="15" thickBot="1">
      <c r="A5" s="454" t="s">
        <v>159</v>
      </c>
      <c r="B5" s="210"/>
      <c r="C5" s="210"/>
      <c r="F5" s="37">
        <v>6100</v>
      </c>
      <c r="H5" s="37">
        <v>6200</v>
      </c>
      <c r="J5" s="37">
        <v>6300</v>
      </c>
      <c r="N5" s="37">
        <v>6400</v>
      </c>
      <c r="P5" s="37">
        <v>6500</v>
      </c>
      <c r="R5" s="37">
        <v>6600</v>
      </c>
      <c r="T5" s="37">
        <v>6700</v>
      </c>
      <c r="X5" s="37">
        <v>6800</v>
      </c>
      <c r="Z5" s="37">
        <v>6900</v>
      </c>
    </row>
    <row r="6" spans="1:238" s="208" customFormat="1">
      <c r="A6" s="228" t="s">
        <v>20</v>
      </c>
      <c r="B6" s="229" t="s">
        <v>0</v>
      </c>
      <c r="C6" s="230" t="s">
        <v>1</v>
      </c>
      <c r="D6" s="564" t="s">
        <v>650</v>
      </c>
      <c r="E6" s="564"/>
      <c r="F6" s="566" t="s">
        <v>328</v>
      </c>
      <c r="G6" s="566"/>
      <c r="H6" s="566" t="s">
        <v>477</v>
      </c>
      <c r="I6" s="566"/>
      <c r="J6" s="566" t="s">
        <v>163</v>
      </c>
      <c r="K6" s="566"/>
      <c r="L6" s="566" t="s">
        <v>759</v>
      </c>
      <c r="M6" s="566"/>
      <c r="N6" s="566" t="s">
        <v>95</v>
      </c>
      <c r="O6" s="566"/>
      <c r="P6" s="566" t="s">
        <v>336</v>
      </c>
      <c r="Q6" s="566"/>
      <c r="R6" s="567">
        <v>39585</v>
      </c>
      <c r="S6" s="566"/>
      <c r="T6" s="566" t="s">
        <v>338</v>
      </c>
      <c r="U6" s="566"/>
      <c r="V6" s="566" t="s">
        <v>468</v>
      </c>
      <c r="W6" s="566"/>
      <c r="X6" s="566" t="s">
        <v>684</v>
      </c>
      <c r="Y6" s="566"/>
      <c r="Z6" s="566" t="s">
        <v>761</v>
      </c>
      <c r="AA6" s="566"/>
      <c r="AB6" s="568" t="s">
        <v>6</v>
      </c>
      <c r="AC6" s="568"/>
      <c r="AD6" s="564" t="s">
        <v>607</v>
      </c>
      <c r="AE6" s="564"/>
      <c r="AF6" s="568" t="s">
        <v>331</v>
      </c>
      <c r="AG6" s="568"/>
      <c r="AH6" s="568" t="s">
        <v>355</v>
      </c>
      <c r="AI6" s="568"/>
      <c r="AJ6" s="564" t="s">
        <v>520</v>
      </c>
      <c r="AK6" s="564"/>
      <c r="AL6" s="564" t="s">
        <v>518</v>
      </c>
      <c r="AM6" s="564"/>
      <c r="AN6" s="564" t="s">
        <v>516</v>
      </c>
      <c r="AO6" s="564"/>
      <c r="AP6" s="564" t="s">
        <v>514</v>
      </c>
      <c r="AQ6" s="564"/>
      <c r="AR6" s="564" t="s">
        <v>687</v>
      </c>
      <c r="AS6" s="564"/>
      <c r="AT6" s="564" t="s">
        <v>692</v>
      </c>
      <c r="AU6" s="564"/>
      <c r="AV6" s="564" t="s">
        <v>30</v>
      </c>
      <c r="AW6" s="565"/>
      <c r="AX6" s="564" t="s">
        <v>32</v>
      </c>
      <c r="AY6" s="564"/>
    </row>
    <row r="7" spans="1:238" s="208" customFormat="1">
      <c r="A7" s="231"/>
      <c r="B7" s="252"/>
      <c r="C7" s="227" t="s">
        <v>16</v>
      </c>
      <c r="D7" s="559" t="s">
        <v>249</v>
      </c>
      <c r="E7" s="559"/>
      <c r="F7" s="563" t="s">
        <v>329</v>
      </c>
      <c r="G7" s="563"/>
      <c r="H7" s="563"/>
      <c r="I7" s="563"/>
      <c r="J7" s="563"/>
      <c r="K7" s="563"/>
      <c r="L7" s="563"/>
      <c r="M7" s="563"/>
      <c r="N7" s="563"/>
      <c r="O7" s="563"/>
      <c r="P7" s="563" t="s">
        <v>337</v>
      </c>
      <c r="Q7" s="563"/>
      <c r="R7" s="563"/>
      <c r="S7" s="563"/>
      <c r="T7" s="563"/>
      <c r="U7" s="563"/>
      <c r="V7" s="563" t="s">
        <v>685</v>
      </c>
      <c r="W7" s="563"/>
      <c r="X7" s="563"/>
      <c r="Y7" s="563"/>
      <c r="Z7" s="563" t="s">
        <v>686</v>
      </c>
      <c r="AA7" s="563"/>
      <c r="AB7" s="562"/>
      <c r="AC7" s="562"/>
      <c r="AD7" s="559" t="s">
        <v>608</v>
      </c>
      <c r="AE7" s="559"/>
      <c r="AF7" s="562" t="s">
        <v>650</v>
      </c>
      <c r="AG7" s="562"/>
      <c r="AH7" s="562"/>
      <c r="AI7" s="562"/>
      <c r="AJ7" s="559" t="s">
        <v>519</v>
      </c>
      <c r="AK7" s="559"/>
      <c r="AL7" s="559" t="s">
        <v>519</v>
      </c>
      <c r="AM7" s="559"/>
      <c r="AN7" s="559" t="s">
        <v>517</v>
      </c>
      <c r="AO7" s="559"/>
      <c r="AP7" s="559" t="s">
        <v>515</v>
      </c>
      <c r="AQ7" s="559"/>
      <c r="AR7" s="559" t="s">
        <v>791</v>
      </c>
      <c r="AS7" s="559"/>
      <c r="AT7" s="559" t="s">
        <v>790</v>
      </c>
      <c r="AU7" s="559"/>
      <c r="AV7" s="559"/>
      <c r="AW7" s="560"/>
      <c r="AX7" s="559"/>
      <c r="AY7" s="559"/>
    </row>
    <row r="8" spans="1:238" s="226" customFormat="1">
      <c r="A8" s="232"/>
      <c r="B8" s="222"/>
      <c r="C8" s="223"/>
      <c r="D8" s="224" t="s">
        <v>28</v>
      </c>
      <c r="E8" s="225" t="s">
        <v>29</v>
      </c>
      <c r="F8" s="224" t="s">
        <v>28</v>
      </c>
      <c r="G8" s="225" t="s">
        <v>29</v>
      </c>
      <c r="H8" s="224" t="s">
        <v>28</v>
      </c>
      <c r="I8" s="225" t="s">
        <v>29</v>
      </c>
      <c r="J8" s="224" t="s">
        <v>28</v>
      </c>
      <c r="K8" s="225" t="s">
        <v>29</v>
      </c>
      <c r="L8" s="224" t="s">
        <v>28</v>
      </c>
      <c r="M8" s="225" t="s">
        <v>29</v>
      </c>
      <c r="N8" s="224" t="s">
        <v>28</v>
      </c>
      <c r="O8" s="225" t="s">
        <v>29</v>
      </c>
      <c r="P8" s="224" t="s">
        <v>28</v>
      </c>
      <c r="Q8" s="225" t="s">
        <v>29</v>
      </c>
      <c r="R8" s="224" t="s">
        <v>28</v>
      </c>
      <c r="S8" s="225" t="s">
        <v>29</v>
      </c>
      <c r="T8" s="224" t="s">
        <v>28</v>
      </c>
      <c r="U8" s="225" t="s">
        <v>29</v>
      </c>
      <c r="V8" s="224" t="s">
        <v>28</v>
      </c>
      <c r="W8" s="225" t="s">
        <v>29</v>
      </c>
      <c r="X8" s="224" t="s">
        <v>28</v>
      </c>
      <c r="Y8" s="225" t="s">
        <v>29</v>
      </c>
      <c r="Z8" s="224" t="s">
        <v>28</v>
      </c>
      <c r="AA8" s="225" t="s">
        <v>29</v>
      </c>
      <c r="AB8" s="224" t="s">
        <v>28</v>
      </c>
      <c r="AC8" s="225" t="s">
        <v>29</v>
      </c>
      <c r="AD8" s="224" t="s">
        <v>28</v>
      </c>
      <c r="AE8" s="225" t="s">
        <v>29</v>
      </c>
      <c r="AF8" s="224" t="s">
        <v>28</v>
      </c>
      <c r="AG8" s="225" t="s">
        <v>29</v>
      </c>
      <c r="AH8" s="224" t="s">
        <v>28</v>
      </c>
      <c r="AI8" s="225" t="s">
        <v>29</v>
      </c>
      <c r="AJ8" s="224" t="s">
        <v>28</v>
      </c>
      <c r="AK8" s="225" t="s">
        <v>29</v>
      </c>
      <c r="AL8" s="224" t="s">
        <v>28</v>
      </c>
      <c r="AM8" s="225" t="s">
        <v>29</v>
      </c>
      <c r="AN8" s="224" t="s">
        <v>28</v>
      </c>
      <c r="AO8" s="225" t="s">
        <v>29</v>
      </c>
      <c r="AP8" s="224" t="s">
        <v>28</v>
      </c>
      <c r="AQ8" s="225" t="s">
        <v>29</v>
      </c>
      <c r="AR8" s="224" t="s">
        <v>28</v>
      </c>
      <c r="AS8" s="225" t="s">
        <v>29</v>
      </c>
      <c r="AT8" s="224" t="s">
        <v>28</v>
      </c>
      <c r="AU8" s="225" t="s">
        <v>29</v>
      </c>
      <c r="AV8" s="224" t="s">
        <v>28</v>
      </c>
      <c r="AW8" s="370" t="s">
        <v>29</v>
      </c>
      <c r="AX8" s="224" t="s">
        <v>28</v>
      </c>
      <c r="AY8" s="225" t="s">
        <v>29</v>
      </c>
    </row>
    <row r="9" spans="1:238" s="34" customFormat="1">
      <c r="A9" s="247" t="s">
        <v>840</v>
      </c>
      <c r="B9" s="248" t="s">
        <v>838</v>
      </c>
      <c r="C9" s="249"/>
      <c r="D9" s="250">
        <f>'Regnskap 2015'!D63</f>
        <v>51670.100000000006</v>
      </c>
      <c r="E9" s="251"/>
      <c r="F9" s="250"/>
      <c r="G9" s="251"/>
      <c r="H9" s="250"/>
      <c r="I9" s="251"/>
      <c r="J9" s="250"/>
      <c r="K9" s="251"/>
      <c r="L9" s="250"/>
      <c r="M9" s="251"/>
      <c r="N9" s="250"/>
      <c r="O9" s="251"/>
      <c r="P9" s="250"/>
      <c r="Q9" s="251"/>
      <c r="R9" s="250"/>
      <c r="S9" s="251"/>
      <c r="T9" s="250"/>
      <c r="U9" s="251"/>
      <c r="V9" s="250"/>
      <c r="W9" s="251"/>
      <c r="X9" s="250"/>
      <c r="Y9" s="251"/>
      <c r="Z9" s="250"/>
      <c r="AA9" s="251"/>
      <c r="AB9" s="250"/>
      <c r="AC9" s="251"/>
      <c r="AD9" s="250">
        <f>'Regnskap 2015'!AD63</f>
        <v>829977.98</v>
      </c>
      <c r="AE9" s="251"/>
      <c r="AF9" s="250"/>
      <c r="AG9" s="251"/>
      <c r="AH9" s="250"/>
      <c r="AI9" s="251"/>
      <c r="AJ9" s="250">
        <f>'Regnskap 2015'!AJ63</f>
        <v>950000</v>
      </c>
      <c r="AK9" s="251"/>
      <c r="AL9" s="250">
        <f>'Regnskap 2015'!AL63</f>
        <v>112480</v>
      </c>
      <c r="AM9" s="251"/>
      <c r="AN9" s="250">
        <f>'Regnskap 2015'!AN63</f>
        <v>20000</v>
      </c>
      <c r="AO9" s="251"/>
      <c r="AP9" s="250"/>
      <c r="AQ9" s="251">
        <f>'Regnskap 2015'!AQ63</f>
        <v>1082480</v>
      </c>
      <c r="AR9" s="250"/>
      <c r="AS9" s="251">
        <f>'Regnskap 2015'!AS63</f>
        <v>722845.36036122043</v>
      </c>
      <c r="AT9" s="250"/>
      <c r="AU9" s="251">
        <f>'Regnskap 2015'!AU63</f>
        <v>160602.71963877956</v>
      </c>
      <c r="AV9" s="250"/>
      <c r="AW9" s="371">
        <v>0</v>
      </c>
      <c r="AX9" s="250">
        <f>'Regnskap 2015'!AX63</f>
        <v>1800</v>
      </c>
      <c r="AY9" s="251"/>
      <c r="AZ9" s="243">
        <f>+D9-E9+F9-G9+H9-I9+J9-K9+L9-M9+N9-O9+P9-Q9+R9-S9+T9-U9+V9-W9+X9-Y9+Z9-AA9+AB9-AC9+AD9-AE9+AF9-AG9+AH9-AI9+AJ9-AK9+AL9-AM9+AN9-AO9+AP9-AQ9+AR9-AS9+AT9-AU9+AV9-AW9+AX9-AY9</f>
        <v>8.7311491370201111E-11</v>
      </c>
      <c r="BA9" s="244"/>
      <c r="BB9" s="244"/>
    </row>
    <row r="10" spans="1:238" s="79" customFormat="1">
      <c r="A10" s="260">
        <v>42373</v>
      </c>
      <c r="B10" s="257" t="s">
        <v>980</v>
      </c>
      <c r="C10" s="285" t="s">
        <v>715</v>
      </c>
      <c r="D10" s="212"/>
      <c r="E10" s="213">
        <v>93.5</v>
      </c>
      <c r="F10" s="212"/>
      <c r="G10" s="213"/>
      <c r="H10" s="212"/>
      <c r="I10" s="213"/>
      <c r="J10" s="212"/>
      <c r="K10" s="213"/>
      <c r="L10" s="212"/>
      <c r="M10" s="213"/>
      <c r="N10" s="212"/>
      <c r="O10" s="213"/>
      <c r="P10" s="212">
        <v>93.5</v>
      </c>
      <c r="Q10" s="213"/>
      <c r="R10" s="212"/>
      <c r="S10" s="213"/>
      <c r="T10" s="212"/>
      <c r="U10" s="213"/>
      <c r="V10" s="212"/>
      <c r="W10" s="213"/>
      <c r="X10" s="212"/>
      <c r="Y10" s="213"/>
      <c r="Z10" s="212"/>
      <c r="AA10" s="213"/>
      <c r="AB10" s="212"/>
      <c r="AC10" s="213"/>
      <c r="AD10" s="212"/>
      <c r="AE10" s="213"/>
      <c r="AF10" s="212"/>
      <c r="AG10" s="213"/>
      <c r="AH10" s="212"/>
      <c r="AI10" s="213"/>
      <c r="AJ10" s="212"/>
      <c r="AK10" s="213"/>
      <c r="AL10" s="212"/>
      <c r="AM10" s="213"/>
      <c r="AN10" s="212"/>
      <c r="AO10" s="213"/>
      <c r="AP10" s="212"/>
      <c r="AQ10" s="213"/>
      <c r="AR10" s="212"/>
      <c r="AS10" s="213"/>
      <c r="AT10" s="212"/>
      <c r="AU10" s="213"/>
      <c r="AV10" s="212"/>
      <c r="AW10" s="372"/>
      <c r="AX10" s="212"/>
      <c r="AY10" s="213"/>
      <c r="AZ10" s="243">
        <f t="shared" ref="AZ10:AZ70" si="0">+D10-E10+F10-G10+H10-I10+J10-K10+L10-M10+N10-O10+P10-Q10+R10-S10+T10-U10+V10-W10+X10-Y10+Z10-AA10+AB10-AC10+AD10-AE10+AF10-AG10+AH10-AI10+AJ10-AK10+AL10-AM10+AN10-AO10+AP10-AQ10+AR10-AS10+AT10-AU10+AV10-AW10+AX10-AY10</f>
        <v>0</v>
      </c>
      <c r="BA10" s="194"/>
      <c r="BB10" s="194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</row>
    <row r="11" spans="1:238" s="79" customFormat="1">
      <c r="A11" s="233">
        <v>42384</v>
      </c>
      <c r="B11" s="257" t="s">
        <v>1010</v>
      </c>
      <c r="C11" s="285" t="s">
        <v>715</v>
      </c>
      <c r="D11" s="214">
        <v>1800</v>
      </c>
      <c r="E11" s="215"/>
      <c r="F11" s="214"/>
      <c r="G11" s="215"/>
      <c r="H11" s="214"/>
      <c r="I11" s="215"/>
      <c r="J11" s="214"/>
      <c r="K11" s="215"/>
      <c r="L11" s="214"/>
      <c r="M11" s="215"/>
      <c r="N11" s="214"/>
      <c r="O11" s="215"/>
      <c r="P11" s="214"/>
      <c r="Q11" s="215"/>
      <c r="R11" s="214"/>
      <c r="S11" s="215"/>
      <c r="T11" s="214"/>
      <c r="U11" s="215"/>
      <c r="V11" s="214"/>
      <c r="W11" s="215"/>
      <c r="X11" s="214"/>
      <c r="Y11" s="215"/>
      <c r="Z11" s="214"/>
      <c r="AA11" s="215"/>
      <c r="AB11" s="214"/>
      <c r="AD11" s="214"/>
      <c r="AE11" s="215"/>
      <c r="AF11" s="214"/>
      <c r="AG11" s="215"/>
      <c r="AH11" s="214"/>
      <c r="AI11" s="215"/>
      <c r="AJ11" s="214"/>
      <c r="AK11" s="215"/>
      <c r="AL11" s="214"/>
      <c r="AM11" s="215"/>
      <c r="AN11" s="214"/>
      <c r="AO11" s="215"/>
      <c r="AP11" s="214"/>
      <c r="AQ11" s="215"/>
      <c r="AR11" s="214"/>
      <c r="AS11" s="215"/>
      <c r="AT11" s="214"/>
      <c r="AU11" s="215"/>
      <c r="AV11" s="362"/>
      <c r="AW11" s="373"/>
      <c r="AX11" s="362"/>
      <c r="AY11" s="215">
        <v>1800</v>
      </c>
      <c r="AZ11" s="243">
        <f t="shared" si="0"/>
        <v>0</v>
      </c>
      <c r="BA11" s="194"/>
      <c r="BB11" s="194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</row>
    <row r="12" spans="1:238" s="79" customFormat="1">
      <c r="A12" s="233">
        <v>42401</v>
      </c>
      <c r="B12" s="257" t="s">
        <v>980</v>
      </c>
      <c r="C12" s="387" t="s">
        <v>716</v>
      </c>
      <c r="D12" s="212"/>
      <c r="E12" s="215">
        <v>80</v>
      </c>
      <c r="F12" s="214"/>
      <c r="G12" s="215"/>
      <c r="H12" s="214"/>
      <c r="I12" s="215"/>
      <c r="J12" s="214"/>
      <c r="K12" s="215"/>
      <c r="L12" s="214"/>
      <c r="M12" s="215"/>
      <c r="N12" s="214"/>
      <c r="O12" s="215"/>
      <c r="P12" s="214">
        <v>80</v>
      </c>
      <c r="Q12" s="215"/>
      <c r="R12" s="214"/>
      <c r="S12" s="215"/>
      <c r="T12" s="214"/>
      <c r="U12" s="215"/>
      <c r="V12" s="214"/>
      <c r="W12" s="215"/>
      <c r="X12" s="214"/>
      <c r="Y12" s="215"/>
      <c r="Z12" s="214"/>
      <c r="AA12" s="215"/>
      <c r="AB12" s="214"/>
      <c r="AC12" s="215"/>
      <c r="AD12" s="214"/>
      <c r="AE12" s="215"/>
      <c r="AF12" s="214"/>
      <c r="AG12" s="215"/>
      <c r="AH12" s="214"/>
      <c r="AI12" s="215"/>
      <c r="AJ12" s="214"/>
      <c r="AK12" s="215"/>
      <c r="AL12" s="214"/>
      <c r="AM12" s="215"/>
      <c r="AN12" s="214"/>
      <c r="AO12" s="215"/>
      <c r="AP12" s="214"/>
      <c r="AQ12" s="215"/>
      <c r="AR12" s="214"/>
      <c r="AS12" s="215"/>
      <c r="AT12" s="214"/>
      <c r="AU12" s="215"/>
      <c r="AV12" s="362"/>
      <c r="AW12" s="374"/>
      <c r="AX12" s="362"/>
      <c r="AY12" s="363"/>
      <c r="AZ12" s="243">
        <f t="shared" si="0"/>
        <v>0</v>
      </c>
      <c r="BA12" s="194"/>
      <c r="BB12" s="194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</row>
    <row r="13" spans="1:238" s="79" customFormat="1">
      <c r="A13" s="410">
        <v>42429</v>
      </c>
      <c r="B13" s="404" t="s">
        <v>982</v>
      </c>
      <c r="C13" s="411" t="s">
        <v>716</v>
      </c>
      <c r="D13" s="406">
        <v>600</v>
      </c>
      <c r="E13" s="412"/>
      <c r="F13" s="365"/>
      <c r="G13" s="364"/>
      <c r="H13" s="365"/>
      <c r="I13" s="364"/>
      <c r="J13" s="365"/>
      <c r="K13" s="213"/>
      <c r="L13" s="212"/>
      <c r="M13" s="213"/>
      <c r="N13" s="212"/>
      <c r="O13" s="213"/>
      <c r="P13" s="365"/>
      <c r="Q13" s="364"/>
      <c r="R13" s="365"/>
      <c r="S13" s="364"/>
      <c r="T13" s="365"/>
      <c r="U13" s="213"/>
      <c r="V13" s="212"/>
      <c r="W13" s="213"/>
      <c r="X13" s="212"/>
      <c r="Y13" s="213"/>
      <c r="Z13" s="212"/>
      <c r="AA13" s="213"/>
      <c r="AB13" s="212"/>
      <c r="AC13" s="213">
        <v>600</v>
      </c>
      <c r="AD13" s="212"/>
      <c r="AE13" s="213"/>
      <c r="AF13" s="212"/>
      <c r="AG13" s="213"/>
      <c r="AH13" s="212"/>
      <c r="AI13" s="213"/>
      <c r="AJ13" s="212"/>
      <c r="AK13" s="213"/>
      <c r="AL13" s="212"/>
      <c r="AM13" s="213"/>
      <c r="AN13" s="212"/>
      <c r="AO13" s="213"/>
      <c r="AP13" s="212"/>
      <c r="AQ13" s="213"/>
      <c r="AR13" s="212"/>
      <c r="AS13" s="213"/>
      <c r="AT13" s="212"/>
      <c r="AU13" s="213"/>
      <c r="AV13" s="365"/>
      <c r="AW13" s="374"/>
      <c r="AX13" s="365"/>
      <c r="AY13" s="364"/>
      <c r="AZ13" s="243">
        <f t="shared" si="0"/>
        <v>0</v>
      </c>
      <c r="BA13" s="194"/>
      <c r="BB13" s="194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</row>
    <row r="14" spans="1:238" s="185" customFormat="1">
      <c r="A14" s="410">
        <v>42458</v>
      </c>
      <c r="B14" s="404" t="s">
        <v>983</v>
      </c>
      <c r="C14" s="405" t="s">
        <v>717</v>
      </c>
      <c r="D14" s="406">
        <v>1800</v>
      </c>
      <c r="E14" s="412"/>
      <c r="F14" s="365"/>
      <c r="G14" s="364"/>
      <c r="H14" s="365"/>
      <c r="I14" s="364"/>
      <c r="J14" s="365"/>
      <c r="K14" s="213"/>
      <c r="L14" s="212"/>
      <c r="M14" s="213"/>
      <c r="N14" s="212"/>
      <c r="O14" s="213"/>
      <c r="P14" s="365"/>
      <c r="Q14" s="364"/>
      <c r="R14" s="365"/>
      <c r="S14" s="364"/>
      <c r="T14" s="365"/>
      <c r="U14" s="213"/>
      <c r="V14" s="212"/>
      <c r="W14" s="213"/>
      <c r="X14" s="212"/>
      <c r="Y14" s="213"/>
      <c r="Z14" s="212"/>
      <c r="AA14" s="213"/>
      <c r="AB14" s="212"/>
      <c r="AC14" s="213">
        <v>1800</v>
      </c>
      <c r="AD14" s="212"/>
      <c r="AE14" s="213"/>
      <c r="AF14" s="212"/>
      <c r="AG14" s="213"/>
      <c r="AH14" s="212"/>
      <c r="AI14" s="213"/>
      <c r="AJ14" s="212"/>
      <c r="AK14" s="213"/>
      <c r="AL14" s="212"/>
      <c r="AM14" s="213"/>
      <c r="AN14" s="212"/>
      <c r="AO14" s="213"/>
      <c r="AP14" s="212"/>
      <c r="AQ14" s="213"/>
      <c r="AR14" s="212"/>
      <c r="AS14" s="213"/>
      <c r="AT14" s="212"/>
      <c r="AU14" s="213"/>
      <c r="AV14" s="365"/>
      <c r="AW14" s="374"/>
      <c r="AX14" s="365"/>
      <c r="AY14" s="364"/>
      <c r="AZ14" s="243">
        <f t="shared" si="0"/>
        <v>0</v>
      </c>
      <c r="BA14" s="194"/>
      <c r="BB14" s="194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</row>
    <row r="15" spans="1:238" s="79" customFormat="1">
      <c r="A15" s="233">
        <v>42430</v>
      </c>
      <c r="B15" s="257" t="s">
        <v>980</v>
      </c>
      <c r="C15" s="387" t="s">
        <v>717</v>
      </c>
      <c r="D15" s="214"/>
      <c r="E15" s="215">
        <v>80</v>
      </c>
      <c r="F15" s="362"/>
      <c r="G15" s="363"/>
      <c r="H15" s="362"/>
      <c r="I15" s="363"/>
      <c r="J15" s="362"/>
      <c r="K15" s="215"/>
      <c r="L15" s="214"/>
      <c r="M15" s="215"/>
      <c r="N15" s="214"/>
      <c r="O15" s="215"/>
      <c r="P15" s="362">
        <v>80</v>
      </c>
      <c r="Q15" s="363"/>
      <c r="R15" s="362"/>
      <c r="S15" s="363"/>
      <c r="T15" s="362"/>
      <c r="U15" s="215"/>
      <c r="V15" s="214"/>
      <c r="W15" s="215"/>
      <c r="X15" s="214"/>
      <c r="Y15" s="215"/>
      <c r="Z15" s="214"/>
      <c r="AA15" s="215"/>
      <c r="AB15" s="214"/>
      <c r="AC15" s="215"/>
      <c r="AD15" s="214"/>
      <c r="AE15" s="215"/>
      <c r="AF15" s="214"/>
      <c r="AG15" s="215"/>
      <c r="AH15" s="214"/>
      <c r="AI15" s="215"/>
      <c r="AJ15" s="214"/>
      <c r="AK15" s="215"/>
      <c r="AL15" s="214"/>
      <c r="AM15" s="215"/>
      <c r="AN15" s="214"/>
      <c r="AO15" s="215"/>
      <c r="AP15" s="214"/>
      <c r="AQ15" s="215"/>
      <c r="AR15" s="214"/>
      <c r="AS15" s="215"/>
      <c r="AT15" s="214"/>
      <c r="AU15" s="215"/>
      <c r="AV15" s="362"/>
      <c r="AW15" s="373"/>
      <c r="AX15" s="362"/>
      <c r="AY15" s="363"/>
      <c r="AZ15" s="243">
        <f t="shared" si="0"/>
        <v>0</v>
      </c>
      <c r="BA15" s="194"/>
      <c r="BB15" s="194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</row>
    <row r="16" spans="1:238" s="79" customFormat="1">
      <c r="A16" s="234">
        <v>42444</v>
      </c>
      <c r="B16" s="257" t="s">
        <v>948</v>
      </c>
      <c r="C16" s="388" t="s">
        <v>718</v>
      </c>
      <c r="D16" s="214"/>
      <c r="E16" s="215">
        <v>265</v>
      </c>
      <c r="F16" s="362"/>
      <c r="G16" s="363"/>
      <c r="H16" s="362"/>
      <c r="I16" s="363"/>
      <c r="J16" s="362"/>
      <c r="K16" s="215"/>
      <c r="L16" s="214"/>
      <c r="M16" s="215"/>
      <c r="N16" s="214"/>
      <c r="O16" s="215"/>
      <c r="P16" s="362"/>
      <c r="Q16" s="363"/>
      <c r="R16" s="362"/>
      <c r="S16" s="363"/>
      <c r="T16" s="362">
        <v>265</v>
      </c>
      <c r="U16" s="215"/>
      <c r="V16" s="214"/>
      <c r="W16" s="215"/>
      <c r="X16" s="214"/>
      <c r="Y16" s="215"/>
      <c r="Z16" s="214"/>
      <c r="AA16" s="215"/>
      <c r="AB16" s="214"/>
      <c r="AC16" s="215"/>
      <c r="AD16" s="214"/>
      <c r="AE16" s="215"/>
      <c r="AF16" s="214"/>
      <c r="AG16" s="215"/>
      <c r="AH16" s="214"/>
      <c r="AI16" s="215"/>
      <c r="AJ16" s="214"/>
      <c r="AK16" s="215"/>
      <c r="AL16" s="214"/>
      <c r="AM16" s="215"/>
      <c r="AN16" s="214"/>
      <c r="AO16" s="215"/>
      <c r="AP16" s="214"/>
      <c r="AQ16" s="215"/>
      <c r="AR16" s="214"/>
      <c r="AS16" s="215"/>
      <c r="AT16" s="214"/>
      <c r="AU16" s="215"/>
      <c r="AV16" s="362"/>
      <c r="AW16" s="373"/>
      <c r="AX16" s="362"/>
      <c r="AY16" s="363"/>
      <c r="AZ16" s="243">
        <f t="shared" si="0"/>
        <v>0</v>
      </c>
      <c r="BA16" s="70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</row>
    <row r="17" spans="1:238" s="79" customFormat="1">
      <c r="A17" s="233">
        <v>42459</v>
      </c>
      <c r="B17" s="280" t="s">
        <v>947</v>
      </c>
      <c r="C17" s="387" t="s">
        <v>719</v>
      </c>
      <c r="D17" s="214"/>
      <c r="E17" s="215">
        <v>5000</v>
      </c>
      <c r="F17" s="362">
        <v>5000</v>
      </c>
      <c r="G17" s="363"/>
      <c r="H17" s="362"/>
      <c r="I17" s="363"/>
      <c r="J17" s="362"/>
      <c r="K17" s="215"/>
      <c r="L17" s="214"/>
      <c r="M17" s="215"/>
      <c r="N17" s="214"/>
      <c r="O17" s="215"/>
      <c r="P17" s="362"/>
      <c r="Q17" s="363"/>
      <c r="R17" s="362"/>
      <c r="S17" s="363"/>
      <c r="T17" s="362"/>
      <c r="U17" s="215"/>
      <c r="V17" s="214"/>
      <c r="W17" s="215"/>
      <c r="X17" s="214"/>
      <c r="Y17" s="215"/>
      <c r="Z17" s="214"/>
      <c r="AA17" s="215"/>
      <c r="AB17" s="214"/>
      <c r="AC17" s="215"/>
      <c r="AD17" s="214"/>
      <c r="AE17" s="215"/>
      <c r="AF17" s="214"/>
      <c r="AG17" s="215"/>
      <c r="AH17" s="214"/>
      <c r="AI17" s="215"/>
      <c r="AJ17" s="214"/>
      <c r="AK17" s="215"/>
      <c r="AL17" s="214"/>
      <c r="AM17" s="215"/>
      <c r="AN17" s="214"/>
      <c r="AO17" s="215"/>
      <c r="AP17" s="214"/>
      <c r="AQ17" s="215"/>
      <c r="AR17" s="214"/>
      <c r="AS17" s="215"/>
      <c r="AT17" s="214"/>
      <c r="AU17" s="215"/>
      <c r="AV17" s="362"/>
      <c r="AW17" s="373"/>
      <c r="AX17" s="362"/>
      <c r="AY17" s="363"/>
      <c r="AZ17" s="243">
        <f t="shared" si="0"/>
        <v>0</v>
      </c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</row>
    <row r="18" spans="1:238" s="79" customFormat="1">
      <c r="A18" s="369">
        <v>42461</v>
      </c>
      <c r="B18" s="257" t="s">
        <v>980</v>
      </c>
      <c r="C18" s="388" t="s">
        <v>720</v>
      </c>
      <c r="D18" s="214"/>
      <c r="E18" s="215">
        <v>85.75</v>
      </c>
      <c r="F18" s="362"/>
      <c r="G18" s="363"/>
      <c r="H18" s="362"/>
      <c r="I18" s="363"/>
      <c r="J18" s="362"/>
      <c r="K18" s="215"/>
      <c r="L18" s="214"/>
      <c r="M18" s="215"/>
      <c r="N18" s="214"/>
      <c r="O18" s="215"/>
      <c r="P18" s="215">
        <v>85.75</v>
      </c>
      <c r="Q18" s="363"/>
      <c r="R18" s="362"/>
      <c r="S18" s="363"/>
      <c r="T18" s="362"/>
      <c r="U18" s="215"/>
      <c r="V18" s="214"/>
      <c r="W18" s="215"/>
      <c r="X18" s="214"/>
      <c r="Y18" s="215"/>
      <c r="Z18" s="214"/>
      <c r="AA18" s="215"/>
      <c r="AB18" s="214"/>
      <c r="AC18" s="215"/>
      <c r="AD18" s="214"/>
      <c r="AE18" s="215"/>
      <c r="AF18" s="214"/>
      <c r="AG18" s="215"/>
      <c r="AH18" s="214"/>
      <c r="AI18" s="215"/>
      <c r="AJ18" s="214"/>
      <c r="AK18" s="215"/>
      <c r="AL18" s="214"/>
      <c r="AM18" s="215"/>
      <c r="AN18" s="214"/>
      <c r="AO18" s="215"/>
      <c r="AP18" s="214"/>
      <c r="AQ18" s="215"/>
      <c r="AR18" s="214"/>
      <c r="AS18" s="215"/>
      <c r="AT18" s="214"/>
      <c r="AU18" s="215"/>
      <c r="AV18" s="362"/>
      <c r="AW18" s="373"/>
      <c r="AX18" s="362"/>
      <c r="AY18" s="363"/>
      <c r="AZ18" s="243">
        <f t="shared" si="0"/>
        <v>0</v>
      </c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</row>
    <row r="19" spans="1:238" s="385" customFormat="1">
      <c r="A19" s="403">
        <v>42467</v>
      </c>
      <c r="B19" s="404" t="s">
        <v>1002</v>
      </c>
      <c r="C19" s="405" t="s">
        <v>720</v>
      </c>
      <c r="D19" s="406">
        <v>877.5</v>
      </c>
      <c r="E19" s="407"/>
      <c r="F19" s="214"/>
      <c r="G19" s="215"/>
      <c r="H19" s="214"/>
      <c r="I19" s="215"/>
      <c r="J19" s="214"/>
      <c r="K19" s="215"/>
      <c r="L19" s="214"/>
      <c r="M19" s="215"/>
      <c r="N19" s="214"/>
      <c r="O19" s="215"/>
      <c r="P19" s="214"/>
      <c r="Q19" s="215"/>
      <c r="R19" s="214"/>
      <c r="S19" s="215"/>
      <c r="T19" s="214"/>
      <c r="U19" s="215"/>
      <c r="V19" s="214"/>
      <c r="W19" s="215"/>
      <c r="X19" s="214"/>
      <c r="Y19" s="215"/>
      <c r="Z19" s="214"/>
      <c r="AA19" s="215"/>
      <c r="AB19" s="214"/>
      <c r="AC19" s="215">
        <v>877.5</v>
      </c>
      <c r="AD19" s="214"/>
      <c r="AE19" s="215"/>
      <c r="AF19" s="214"/>
      <c r="AG19" s="215"/>
      <c r="AH19" s="214"/>
      <c r="AI19" s="215"/>
      <c r="AJ19" s="214"/>
      <c r="AK19" s="215"/>
      <c r="AL19" s="214"/>
      <c r="AM19" s="215"/>
      <c r="AN19" s="214"/>
      <c r="AO19" s="215"/>
      <c r="AP19" s="214"/>
      <c r="AQ19" s="215"/>
      <c r="AR19" s="214"/>
      <c r="AS19" s="215"/>
      <c r="AT19" s="214"/>
      <c r="AU19" s="215"/>
      <c r="AV19" s="214"/>
      <c r="AW19" s="319"/>
      <c r="AX19" s="214"/>
      <c r="AY19" s="215"/>
      <c r="AZ19" s="243">
        <f t="shared" si="0"/>
        <v>0</v>
      </c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</row>
    <row r="20" spans="1:238" s="79" customFormat="1">
      <c r="A20" s="403">
        <v>42488</v>
      </c>
      <c r="B20" s="404" t="s">
        <v>982</v>
      </c>
      <c r="C20" s="405" t="s">
        <v>720</v>
      </c>
      <c r="D20" s="406">
        <v>600</v>
      </c>
      <c r="E20" s="407"/>
      <c r="F20" s="362"/>
      <c r="G20" s="363"/>
      <c r="H20" s="362"/>
      <c r="I20" s="363"/>
      <c r="J20" s="362"/>
      <c r="K20" s="215"/>
      <c r="L20" s="214"/>
      <c r="M20" s="215"/>
      <c r="N20" s="214"/>
      <c r="O20" s="215"/>
      <c r="P20" s="362"/>
      <c r="Q20" s="363"/>
      <c r="R20" s="362"/>
      <c r="S20" s="363"/>
      <c r="T20" s="362"/>
      <c r="U20" s="215"/>
      <c r="V20" s="214"/>
      <c r="W20" s="215"/>
      <c r="X20" s="214"/>
      <c r="Y20" s="215"/>
      <c r="Z20" s="214"/>
      <c r="AA20" s="215"/>
      <c r="AB20" s="214"/>
      <c r="AC20" s="215">
        <v>600</v>
      </c>
      <c r="AD20" s="214"/>
      <c r="AE20" s="215"/>
      <c r="AF20" s="214"/>
      <c r="AG20" s="215"/>
      <c r="AH20" s="214"/>
      <c r="AI20" s="215"/>
      <c r="AJ20" s="214"/>
      <c r="AK20" s="215"/>
      <c r="AL20" s="214"/>
      <c r="AM20" s="215"/>
      <c r="AN20" s="214"/>
      <c r="AO20" s="215"/>
      <c r="AP20" s="214"/>
      <c r="AQ20" s="215"/>
      <c r="AR20" s="214"/>
      <c r="AS20" s="215"/>
      <c r="AT20" s="214"/>
      <c r="AU20" s="215"/>
      <c r="AV20" s="362"/>
      <c r="AW20" s="373"/>
      <c r="AX20" s="362"/>
      <c r="AY20" s="363"/>
      <c r="AZ20" s="243">
        <f t="shared" si="0"/>
        <v>0</v>
      </c>
    </row>
    <row r="21" spans="1:238" s="79" customFormat="1">
      <c r="A21" s="234">
        <v>42492</v>
      </c>
      <c r="B21" s="257" t="s">
        <v>980</v>
      </c>
      <c r="C21" s="389" t="s">
        <v>721</v>
      </c>
      <c r="D21" s="214"/>
      <c r="E21" s="215">
        <v>80</v>
      </c>
      <c r="F21" s="362"/>
      <c r="G21" s="363"/>
      <c r="H21" s="362"/>
      <c r="I21" s="363"/>
      <c r="J21" s="362"/>
      <c r="K21" s="215"/>
      <c r="L21" s="214"/>
      <c r="M21" s="215"/>
      <c r="N21" s="214"/>
      <c r="O21" s="215"/>
      <c r="P21" s="362">
        <v>80</v>
      </c>
      <c r="Q21" s="363"/>
      <c r="R21" s="362"/>
      <c r="S21" s="363"/>
      <c r="T21" s="362"/>
      <c r="U21" s="215"/>
      <c r="V21" s="214"/>
      <c r="W21" s="215"/>
      <c r="X21" s="214"/>
      <c r="Y21" s="215"/>
      <c r="Z21" s="214"/>
      <c r="AA21" s="215"/>
      <c r="AB21" s="214"/>
      <c r="AC21" s="215"/>
      <c r="AD21" s="214"/>
      <c r="AE21" s="215"/>
      <c r="AF21" s="214"/>
      <c r="AG21" s="215"/>
      <c r="AH21" s="214"/>
      <c r="AI21" s="215"/>
      <c r="AJ21" s="214"/>
      <c r="AK21" s="215"/>
      <c r="AL21" s="214"/>
      <c r="AM21" s="215"/>
      <c r="AN21" s="214"/>
      <c r="AO21" s="215"/>
      <c r="AP21" s="214"/>
      <c r="AQ21" s="215"/>
      <c r="AR21" s="214"/>
      <c r="AS21" s="215"/>
      <c r="AT21" s="214"/>
      <c r="AU21" s="215"/>
      <c r="AV21" s="362"/>
      <c r="AW21" s="373"/>
      <c r="AX21" s="362"/>
      <c r="AY21" s="363"/>
      <c r="AZ21" s="243">
        <f t="shared" si="0"/>
        <v>0</v>
      </c>
    </row>
    <row r="22" spans="1:238" s="385" customFormat="1">
      <c r="A22" s="261">
        <v>42494</v>
      </c>
      <c r="B22" s="257" t="s">
        <v>985</v>
      </c>
      <c r="C22" s="388" t="s">
        <v>724</v>
      </c>
      <c r="D22" s="214"/>
      <c r="E22" s="215">
        <v>1500</v>
      </c>
      <c r="F22" s="214"/>
      <c r="G22" s="215"/>
      <c r="H22" s="214"/>
      <c r="I22" s="215"/>
      <c r="J22" s="362"/>
      <c r="K22" s="215"/>
      <c r="L22" s="214"/>
      <c r="M22" s="215"/>
      <c r="N22" s="214"/>
      <c r="O22" s="215"/>
      <c r="P22" s="214">
        <v>1500</v>
      </c>
      <c r="Q22" s="215"/>
      <c r="R22" s="214"/>
      <c r="S22" s="215"/>
      <c r="T22" s="214"/>
      <c r="U22" s="215"/>
      <c r="V22" s="214"/>
      <c r="W22" s="215"/>
      <c r="X22" s="214"/>
      <c r="Y22" s="215"/>
      <c r="Z22" s="214"/>
      <c r="AA22" s="215"/>
      <c r="AB22" s="214"/>
      <c r="AC22" s="215"/>
      <c r="AD22" s="214"/>
      <c r="AE22" s="215"/>
      <c r="AF22" s="214"/>
      <c r="AG22" s="215"/>
      <c r="AH22" s="214"/>
      <c r="AI22" s="215"/>
      <c r="AJ22" s="214"/>
      <c r="AK22" s="215"/>
      <c r="AL22" s="214"/>
      <c r="AM22" s="215"/>
      <c r="AN22" s="214"/>
      <c r="AO22" s="215"/>
      <c r="AP22" s="214"/>
      <c r="AQ22" s="215"/>
      <c r="AR22" s="214"/>
      <c r="AS22" s="215"/>
      <c r="AT22" s="214"/>
      <c r="AU22" s="215"/>
      <c r="AV22" s="214"/>
      <c r="AW22" s="319"/>
      <c r="AX22" s="214"/>
      <c r="AY22" s="215"/>
      <c r="AZ22" s="243">
        <f t="shared" si="0"/>
        <v>0</v>
      </c>
    </row>
    <row r="23" spans="1:238" s="79" customFormat="1">
      <c r="A23" s="403">
        <v>42508</v>
      </c>
      <c r="B23" s="404" t="s">
        <v>984</v>
      </c>
      <c r="C23" s="405" t="s">
        <v>721</v>
      </c>
      <c r="D23" s="406">
        <v>3217.5</v>
      </c>
      <c r="E23" s="407"/>
      <c r="F23" s="362"/>
      <c r="G23" s="363"/>
      <c r="H23" s="362"/>
      <c r="I23" s="363"/>
      <c r="J23" s="362"/>
      <c r="K23" s="215"/>
      <c r="L23" s="214"/>
      <c r="M23" s="215"/>
      <c r="N23" s="214"/>
      <c r="O23" s="215"/>
      <c r="P23" s="362"/>
      <c r="Q23" s="363"/>
      <c r="R23" s="362"/>
      <c r="S23" s="363"/>
      <c r="T23" s="362"/>
      <c r="U23" s="215"/>
      <c r="V23" s="214"/>
      <c r="W23" s="215"/>
      <c r="X23" s="214"/>
      <c r="Y23" s="215"/>
      <c r="Z23" s="214"/>
      <c r="AA23" s="215"/>
      <c r="AB23" s="214"/>
      <c r="AC23" s="215">
        <v>3217.5</v>
      </c>
      <c r="AD23" s="214"/>
      <c r="AE23" s="215"/>
      <c r="AF23" s="214"/>
      <c r="AG23" s="215"/>
      <c r="AH23" s="214"/>
      <c r="AI23" s="215"/>
      <c r="AJ23" s="214"/>
      <c r="AK23" s="215"/>
      <c r="AL23" s="214"/>
      <c r="AM23" s="215"/>
      <c r="AN23" s="214"/>
      <c r="AO23" s="215"/>
      <c r="AP23" s="214"/>
      <c r="AQ23" s="215"/>
      <c r="AR23" s="214"/>
      <c r="AS23" s="215"/>
      <c r="AT23" s="214"/>
      <c r="AU23" s="215"/>
      <c r="AV23" s="362"/>
      <c r="AW23" s="373"/>
      <c r="AX23" s="362"/>
      <c r="AY23" s="363"/>
      <c r="AZ23" s="243">
        <f t="shared" si="0"/>
        <v>0</v>
      </c>
      <c r="BB23" s="277"/>
    </row>
    <row r="24" spans="1:238" s="79" customFormat="1">
      <c r="A24" s="403">
        <v>42521</v>
      </c>
      <c r="B24" s="404" t="s">
        <v>1035</v>
      </c>
      <c r="C24" s="405" t="s">
        <v>721</v>
      </c>
      <c r="D24" s="406">
        <v>24000</v>
      </c>
      <c r="E24" s="407"/>
      <c r="F24" s="362"/>
      <c r="G24" s="363"/>
      <c r="H24" s="362"/>
      <c r="I24" s="363"/>
      <c r="J24" s="362"/>
      <c r="K24" s="215"/>
      <c r="L24" s="214"/>
      <c r="M24" s="215"/>
      <c r="N24" s="214"/>
      <c r="O24" s="215"/>
      <c r="P24" s="362"/>
      <c r="Q24" s="363"/>
      <c r="R24" s="362"/>
      <c r="S24" s="363"/>
      <c r="T24" s="362"/>
      <c r="U24" s="215"/>
      <c r="V24" s="214"/>
      <c r="W24" s="215"/>
      <c r="X24" s="214"/>
      <c r="Y24" s="215"/>
      <c r="Z24" s="214"/>
      <c r="AA24" s="215"/>
      <c r="AB24" s="214"/>
      <c r="AC24" s="215">
        <v>24000</v>
      </c>
      <c r="AD24" s="214"/>
      <c r="AE24" s="215"/>
      <c r="AF24" s="214"/>
      <c r="AG24" s="215"/>
      <c r="AH24" s="214"/>
      <c r="AI24" s="215"/>
      <c r="AJ24" s="214"/>
      <c r="AK24" s="215"/>
      <c r="AL24" s="214"/>
      <c r="AM24" s="215"/>
      <c r="AN24" s="214"/>
      <c r="AO24" s="215"/>
      <c r="AP24" s="214"/>
      <c r="AQ24" s="215"/>
      <c r="AR24" s="214"/>
      <c r="AS24" s="215"/>
      <c r="AT24" s="214"/>
      <c r="AU24" s="215"/>
      <c r="AV24" s="362"/>
      <c r="AW24" s="373"/>
      <c r="AX24" s="362"/>
      <c r="AY24" s="363"/>
      <c r="AZ24" s="243">
        <f t="shared" si="0"/>
        <v>0</v>
      </c>
      <c r="BB24" s="277"/>
    </row>
    <row r="25" spans="1:238" s="79" customFormat="1">
      <c r="A25" s="261">
        <v>42520</v>
      </c>
      <c r="B25" s="257" t="s">
        <v>986</v>
      </c>
      <c r="C25" s="388" t="s">
        <v>722</v>
      </c>
      <c r="D25" s="214"/>
      <c r="E25" s="215">
        <v>4646.58</v>
      </c>
      <c r="F25" s="362"/>
      <c r="G25" s="363"/>
      <c r="H25" s="362"/>
      <c r="I25" s="363"/>
      <c r="J25" s="214">
        <v>4646.58</v>
      </c>
      <c r="K25" s="215"/>
      <c r="L25" s="214"/>
      <c r="M25" s="215"/>
      <c r="N25" s="214"/>
      <c r="O25" s="215"/>
      <c r="P25" s="362"/>
      <c r="Q25" s="363"/>
      <c r="R25" s="362"/>
      <c r="S25" s="363"/>
      <c r="T25" s="362"/>
      <c r="U25" s="215"/>
      <c r="V25" s="214"/>
      <c r="W25" s="215"/>
      <c r="X25" s="214"/>
      <c r="Y25" s="215"/>
      <c r="Z25" s="214"/>
      <c r="AA25" s="215"/>
      <c r="AB25" s="214"/>
      <c r="AC25" s="215"/>
      <c r="AD25" s="214"/>
      <c r="AE25" s="215"/>
      <c r="AF25" s="214"/>
      <c r="AG25" s="215"/>
      <c r="AH25" s="214"/>
      <c r="AI25" s="215"/>
      <c r="AJ25" s="214"/>
      <c r="AK25" s="215"/>
      <c r="AL25" s="214"/>
      <c r="AM25" s="215"/>
      <c r="AN25" s="214"/>
      <c r="AO25" s="215"/>
      <c r="AP25" s="214"/>
      <c r="AQ25" s="215"/>
      <c r="AR25" s="214"/>
      <c r="AS25" s="215"/>
      <c r="AT25" s="214"/>
      <c r="AU25" s="215"/>
      <c r="AV25" s="214"/>
      <c r="AW25" s="319"/>
      <c r="AX25" s="214"/>
      <c r="AY25" s="215"/>
      <c r="AZ25" s="243">
        <f t="shared" si="0"/>
        <v>0</v>
      </c>
    </row>
    <row r="26" spans="1:238" s="79" customFormat="1">
      <c r="A26" s="234">
        <v>42520</v>
      </c>
      <c r="B26" s="257" t="s">
        <v>987</v>
      </c>
      <c r="C26" s="387" t="s">
        <v>723</v>
      </c>
      <c r="D26" s="214"/>
      <c r="E26" s="215">
        <v>848</v>
      </c>
      <c r="F26" s="214"/>
      <c r="G26" s="215"/>
      <c r="H26" s="214"/>
      <c r="I26" s="215"/>
      <c r="K26" s="215"/>
      <c r="L26" s="214"/>
      <c r="M26" s="215"/>
      <c r="N26" s="214"/>
      <c r="O26" s="215"/>
      <c r="P26" s="362">
        <v>848</v>
      </c>
      <c r="Q26" s="363"/>
      <c r="R26" s="362"/>
      <c r="S26" s="363"/>
      <c r="T26" s="362"/>
      <c r="U26" s="215"/>
      <c r="V26" s="214"/>
      <c r="W26" s="215"/>
      <c r="X26" s="214"/>
      <c r="Y26" s="215"/>
      <c r="Z26" s="214"/>
      <c r="AA26" s="215"/>
      <c r="AB26" s="321"/>
      <c r="AC26" s="215"/>
      <c r="AD26" s="214"/>
      <c r="AE26" s="215"/>
      <c r="AF26" s="214"/>
      <c r="AG26" s="215"/>
      <c r="AH26" s="214"/>
      <c r="AI26" s="215"/>
      <c r="AJ26" s="214"/>
      <c r="AK26" s="215"/>
      <c r="AL26" s="214"/>
      <c r="AM26" s="215"/>
      <c r="AN26" s="214"/>
      <c r="AO26" s="215"/>
      <c r="AP26" s="214"/>
      <c r="AQ26" s="215"/>
      <c r="AR26" s="214"/>
      <c r="AS26" s="215"/>
      <c r="AT26" s="214"/>
      <c r="AU26" s="215"/>
      <c r="AV26" s="214"/>
      <c r="AW26" s="319"/>
      <c r="AX26" s="214"/>
      <c r="AY26" s="215"/>
      <c r="AZ26" s="243">
        <f t="shared" si="0"/>
        <v>0</v>
      </c>
    </row>
    <row r="27" spans="1:238" s="79" customFormat="1">
      <c r="A27" s="261">
        <v>42520</v>
      </c>
      <c r="B27" s="257" t="s">
        <v>988</v>
      </c>
      <c r="C27" s="388" t="s">
        <v>725</v>
      </c>
      <c r="D27" s="214"/>
      <c r="E27" s="215">
        <v>582</v>
      </c>
      <c r="F27" s="214"/>
      <c r="G27" s="215"/>
      <c r="H27" s="214"/>
      <c r="I27" s="215"/>
      <c r="J27" s="214">
        <v>582</v>
      </c>
      <c r="K27" s="215"/>
      <c r="L27" s="214"/>
      <c r="M27" s="215"/>
      <c r="N27" s="214"/>
      <c r="O27" s="215"/>
      <c r="P27" s="362"/>
      <c r="Q27" s="363"/>
      <c r="R27" s="362"/>
      <c r="S27" s="363"/>
      <c r="T27" s="362"/>
      <c r="U27" s="215"/>
      <c r="V27" s="214"/>
      <c r="W27" s="215"/>
      <c r="X27" s="214"/>
      <c r="Y27" s="215"/>
      <c r="Z27" s="214"/>
      <c r="AA27" s="215"/>
      <c r="AB27" s="214"/>
      <c r="AC27" s="215"/>
      <c r="AD27" s="214"/>
      <c r="AE27" s="215"/>
      <c r="AF27" s="214"/>
      <c r="AG27" s="215"/>
      <c r="AH27" s="214"/>
      <c r="AI27" s="215"/>
      <c r="AJ27" s="214"/>
      <c r="AK27" s="215"/>
      <c r="AL27" s="214"/>
      <c r="AM27" s="215"/>
      <c r="AN27" s="214"/>
      <c r="AO27" s="215"/>
      <c r="AP27" s="214"/>
      <c r="AQ27" s="215"/>
      <c r="AR27" s="214"/>
      <c r="AS27" s="215"/>
      <c r="AT27" s="214"/>
      <c r="AU27" s="215"/>
      <c r="AV27" s="214"/>
      <c r="AW27" s="319"/>
      <c r="AX27" s="214"/>
      <c r="AY27" s="215"/>
      <c r="AZ27" s="243">
        <f t="shared" si="0"/>
        <v>0</v>
      </c>
      <c r="BB27" s="277"/>
    </row>
    <row r="28" spans="1:238" s="79" customFormat="1">
      <c r="A28" s="390">
        <v>42522</v>
      </c>
      <c r="B28" s="257" t="s">
        <v>980</v>
      </c>
      <c r="C28" s="388" t="s">
        <v>726</v>
      </c>
      <c r="D28" s="214"/>
      <c r="E28" s="215">
        <v>98</v>
      </c>
      <c r="F28" s="214"/>
      <c r="G28" s="215"/>
      <c r="H28" s="214"/>
      <c r="I28" s="215"/>
      <c r="J28" s="214"/>
      <c r="K28" s="215"/>
      <c r="L28" s="214"/>
      <c r="M28" s="215"/>
      <c r="N28" s="214"/>
      <c r="O28" s="215"/>
      <c r="P28" s="214">
        <v>98</v>
      </c>
      <c r="Q28" s="215"/>
      <c r="R28" s="214"/>
      <c r="S28" s="215"/>
      <c r="T28" s="214"/>
      <c r="U28" s="215"/>
      <c r="V28" s="214"/>
      <c r="W28" s="215"/>
      <c r="X28" s="214"/>
      <c r="Y28" s="215"/>
      <c r="Z28" s="214"/>
      <c r="AA28" s="319"/>
      <c r="AB28" s="214"/>
      <c r="AC28" s="320"/>
      <c r="AD28" s="214"/>
      <c r="AE28" s="215"/>
      <c r="AF28" s="214"/>
      <c r="AG28" s="215"/>
      <c r="AH28" s="214"/>
      <c r="AI28" s="215"/>
      <c r="AJ28" s="214"/>
      <c r="AK28" s="215"/>
      <c r="AL28" s="214"/>
      <c r="AM28" s="215"/>
      <c r="AN28" s="214"/>
      <c r="AO28" s="215"/>
      <c r="AP28" s="214"/>
      <c r="AQ28" s="215"/>
      <c r="AR28" s="214"/>
      <c r="AS28" s="215"/>
      <c r="AT28" s="214"/>
      <c r="AU28" s="215"/>
      <c r="AV28" s="214"/>
      <c r="AW28" s="319"/>
      <c r="AX28" s="214"/>
      <c r="AY28" s="215"/>
      <c r="AZ28" s="243">
        <f t="shared" si="0"/>
        <v>0</v>
      </c>
      <c r="BB28" s="277"/>
    </row>
    <row r="29" spans="1:238" s="79" customFormat="1">
      <c r="A29" s="391">
        <v>42527</v>
      </c>
      <c r="B29" s="257" t="s">
        <v>989</v>
      </c>
      <c r="C29" s="389" t="s">
        <v>727</v>
      </c>
      <c r="D29" s="214"/>
      <c r="E29" s="215">
        <v>2500</v>
      </c>
      <c r="F29" s="214"/>
      <c r="G29" s="215"/>
      <c r="H29" s="214"/>
      <c r="I29" s="215"/>
      <c r="J29" s="214"/>
      <c r="K29" s="215"/>
      <c r="L29" s="214"/>
      <c r="M29" s="215"/>
      <c r="N29" s="214"/>
      <c r="O29" s="215"/>
      <c r="P29" s="214"/>
      <c r="Q29" s="215"/>
      <c r="R29" s="214">
        <v>2500</v>
      </c>
      <c r="S29" s="215"/>
      <c r="T29" s="214"/>
      <c r="U29" s="215"/>
      <c r="V29" s="214"/>
      <c r="W29" s="215"/>
      <c r="X29" s="214"/>
      <c r="Y29" s="215"/>
      <c r="Z29" s="214"/>
      <c r="AA29" s="215"/>
      <c r="AB29" s="214"/>
      <c r="AC29" s="215"/>
      <c r="AD29" s="214"/>
      <c r="AE29" s="215"/>
      <c r="AF29" s="214"/>
      <c r="AG29" s="215"/>
      <c r="AH29" s="214"/>
      <c r="AI29" s="215"/>
      <c r="AJ29" s="214"/>
      <c r="AK29" s="215"/>
      <c r="AL29" s="214"/>
      <c r="AM29" s="215"/>
      <c r="AN29" s="214"/>
      <c r="AO29" s="215"/>
      <c r="AP29" s="214"/>
      <c r="AQ29" s="215"/>
      <c r="AR29" s="214"/>
      <c r="AS29" s="215"/>
      <c r="AT29" s="214"/>
      <c r="AU29" s="215"/>
      <c r="AV29" s="214"/>
      <c r="AW29" s="319"/>
      <c r="AX29" s="214"/>
      <c r="AY29" s="215"/>
      <c r="AZ29" s="243">
        <f t="shared" si="0"/>
        <v>0</v>
      </c>
    </row>
    <row r="30" spans="1:238" s="79" customFormat="1">
      <c r="A30" s="391">
        <v>42527</v>
      </c>
      <c r="B30" s="257" t="s">
        <v>990</v>
      </c>
      <c r="C30" s="388" t="s">
        <v>728</v>
      </c>
      <c r="D30" s="214"/>
      <c r="E30" s="215">
        <v>2556</v>
      </c>
      <c r="F30" s="214"/>
      <c r="G30" s="215"/>
      <c r="H30" s="214"/>
      <c r="I30" s="215"/>
      <c r="J30" s="214">
        <v>2556</v>
      </c>
      <c r="K30" s="215"/>
      <c r="L30" s="214"/>
      <c r="M30" s="215"/>
      <c r="N30" s="214"/>
      <c r="O30" s="215"/>
      <c r="P30" s="214"/>
      <c r="Q30" s="215"/>
      <c r="R30" s="214"/>
      <c r="S30" s="215"/>
      <c r="T30" s="214"/>
      <c r="U30" s="215"/>
      <c r="V30" s="214"/>
      <c r="W30" s="215"/>
      <c r="X30" s="214"/>
      <c r="Y30" s="215"/>
      <c r="Z30" s="214"/>
      <c r="AA30" s="215"/>
      <c r="AB30" s="322"/>
      <c r="AC30" s="215"/>
      <c r="AD30" s="214"/>
      <c r="AE30" s="215"/>
      <c r="AF30" s="214"/>
      <c r="AG30" s="215"/>
      <c r="AH30" s="214"/>
      <c r="AI30" s="215"/>
      <c r="AJ30" s="214"/>
      <c r="AK30" s="215"/>
      <c r="AL30" s="214"/>
      <c r="AM30" s="215"/>
      <c r="AN30" s="214"/>
      <c r="AO30" s="215"/>
      <c r="AP30" s="214"/>
      <c r="AQ30" s="215"/>
      <c r="AR30" s="214"/>
      <c r="AS30" s="215"/>
      <c r="AT30" s="214"/>
      <c r="AU30" s="215"/>
      <c r="AV30" s="214"/>
      <c r="AW30" s="319"/>
      <c r="AX30" s="214"/>
      <c r="AY30" s="215"/>
      <c r="AZ30" s="243">
        <f t="shared" si="0"/>
        <v>0</v>
      </c>
      <c r="BB30" s="277"/>
    </row>
    <row r="31" spans="1:238" s="79" customFormat="1">
      <c r="A31" s="408">
        <v>42542</v>
      </c>
      <c r="B31" s="404" t="s">
        <v>983</v>
      </c>
      <c r="C31" s="405" t="s">
        <v>729</v>
      </c>
      <c r="D31" s="406">
        <v>1800</v>
      </c>
      <c r="E31" s="407"/>
      <c r="F31" s="214"/>
      <c r="G31" s="215"/>
      <c r="H31" s="214"/>
      <c r="I31" s="215"/>
      <c r="J31" s="214"/>
      <c r="K31" s="215"/>
      <c r="L31" s="214"/>
      <c r="M31" s="215"/>
      <c r="N31" s="214"/>
      <c r="O31" s="215"/>
      <c r="P31" s="214"/>
      <c r="Q31" s="215"/>
      <c r="R31" s="214"/>
      <c r="S31" s="215"/>
      <c r="T31" s="214"/>
      <c r="U31" s="215"/>
      <c r="V31" s="214"/>
      <c r="W31" s="215"/>
      <c r="X31" s="214"/>
      <c r="Y31" s="215"/>
      <c r="Z31" s="214"/>
      <c r="AA31" s="215"/>
      <c r="AB31" s="214"/>
      <c r="AC31" s="215">
        <v>1800</v>
      </c>
      <c r="AD31" s="214"/>
      <c r="AE31" s="215"/>
      <c r="AF31" s="214"/>
      <c r="AG31" s="215"/>
      <c r="AH31" s="214"/>
      <c r="AI31" s="215"/>
      <c r="AJ31" s="214"/>
      <c r="AK31" s="215"/>
      <c r="AL31" s="214"/>
      <c r="AM31" s="215"/>
      <c r="AN31" s="214"/>
      <c r="AO31" s="215"/>
      <c r="AP31" s="214"/>
      <c r="AQ31" s="215"/>
      <c r="AR31" s="214"/>
      <c r="AS31" s="215"/>
      <c r="AT31" s="214"/>
      <c r="AU31" s="215"/>
      <c r="AV31" s="214"/>
      <c r="AW31" s="319"/>
      <c r="AX31" s="214"/>
      <c r="AY31" s="215"/>
      <c r="AZ31" s="243">
        <f t="shared" si="0"/>
        <v>0</v>
      </c>
    </row>
    <row r="32" spans="1:238" s="79" customFormat="1">
      <c r="A32" s="391">
        <v>42552</v>
      </c>
      <c r="B32" s="262" t="s">
        <v>980</v>
      </c>
      <c r="C32" s="389" t="s">
        <v>730</v>
      </c>
      <c r="D32" s="214"/>
      <c r="E32" s="215">
        <v>89</v>
      </c>
      <c r="F32" s="214"/>
      <c r="G32" s="215"/>
      <c r="H32" s="214"/>
      <c r="I32" s="215"/>
      <c r="J32" s="214"/>
      <c r="K32" s="215"/>
      <c r="L32" s="214"/>
      <c r="M32" s="215"/>
      <c r="N32" s="214"/>
      <c r="O32" s="215"/>
      <c r="P32" s="214">
        <v>89</v>
      </c>
      <c r="Q32" s="215"/>
      <c r="R32" s="214"/>
      <c r="S32" s="215"/>
      <c r="T32" s="214"/>
      <c r="U32" s="215"/>
      <c r="V32" s="214"/>
      <c r="W32" s="215"/>
      <c r="X32" s="214"/>
      <c r="Y32" s="215"/>
      <c r="Z32" s="214"/>
      <c r="AA32" s="215"/>
      <c r="AB32" s="214"/>
      <c r="AC32" s="215"/>
      <c r="AD32" s="214"/>
      <c r="AE32" s="215"/>
      <c r="AF32" s="214"/>
      <c r="AG32" s="215"/>
      <c r="AH32" s="214"/>
      <c r="AI32" s="215"/>
      <c r="AJ32" s="214"/>
      <c r="AK32" s="215"/>
      <c r="AL32" s="214"/>
      <c r="AM32" s="215"/>
      <c r="AN32" s="214"/>
      <c r="AO32" s="215"/>
      <c r="AP32" s="214"/>
      <c r="AQ32" s="215"/>
      <c r="AR32" s="214"/>
      <c r="AS32" s="215"/>
      <c r="AT32" s="214"/>
      <c r="AU32" s="215"/>
      <c r="AV32" s="214"/>
      <c r="AW32" s="319"/>
      <c r="AX32" s="214"/>
      <c r="AY32" s="215"/>
      <c r="AZ32" s="243">
        <f t="shared" si="0"/>
        <v>0</v>
      </c>
      <c r="BB32" s="277"/>
    </row>
    <row r="33" spans="1:54" s="385" customFormat="1">
      <c r="A33" s="392">
        <v>42557</v>
      </c>
      <c r="B33" s="257" t="s">
        <v>991</v>
      </c>
      <c r="C33" s="388" t="s">
        <v>731</v>
      </c>
      <c r="D33" s="214"/>
      <c r="E33" s="215">
        <v>780</v>
      </c>
      <c r="F33" s="214"/>
      <c r="G33" s="215"/>
      <c r="H33" s="214">
        <v>780</v>
      </c>
      <c r="I33" s="215"/>
      <c r="J33" s="214"/>
      <c r="K33" s="215"/>
      <c r="L33" s="214"/>
      <c r="M33" s="215"/>
      <c r="N33" s="214"/>
      <c r="O33" s="215"/>
      <c r="P33" s="214"/>
      <c r="Q33" s="215"/>
      <c r="R33" s="214"/>
      <c r="S33" s="215"/>
      <c r="T33" s="214"/>
      <c r="U33" s="215"/>
      <c r="V33" s="214"/>
      <c r="W33" s="215"/>
      <c r="X33" s="214"/>
      <c r="Y33" s="215"/>
      <c r="Z33" s="214"/>
      <c r="AA33" s="215"/>
      <c r="AB33" s="214"/>
      <c r="AC33" s="215"/>
      <c r="AD33" s="214"/>
      <c r="AE33" s="215"/>
      <c r="AF33" s="214"/>
      <c r="AG33" s="215"/>
      <c r="AH33" s="214"/>
      <c r="AI33" s="215"/>
      <c r="AJ33" s="214"/>
      <c r="AK33" s="215"/>
      <c r="AL33" s="214"/>
      <c r="AM33" s="215"/>
      <c r="AN33" s="214"/>
      <c r="AO33" s="215"/>
      <c r="AP33" s="214"/>
      <c r="AQ33" s="215"/>
      <c r="AR33" s="214"/>
      <c r="AS33" s="215"/>
      <c r="AT33" s="214"/>
      <c r="AU33" s="215"/>
      <c r="AV33" s="214"/>
      <c r="AW33" s="319"/>
      <c r="AX33" s="214"/>
      <c r="AY33" s="215"/>
      <c r="AZ33" s="384">
        <f t="shared" si="0"/>
        <v>0</v>
      </c>
      <c r="BB33" s="140"/>
    </row>
    <row r="34" spans="1:54" s="385" customFormat="1">
      <c r="A34" s="391">
        <v>42557</v>
      </c>
      <c r="B34" s="257" t="s">
        <v>992</v>
      </c>
      <c r="C34" s="388" t="s">
        <v>732</v>
      </c>
      <c r="D34" s="214"/>
      <c r="E34" s="215">
        <v>1324</v>
      </c>
      <c r="F34" s="214"/>
      <c r="G34" s="215"/>
      <c r="H34" s="214"/>
      <c r="I34" s="215"/>
      <c r="J34" s="214"/>
      <c r="K34" s="215"/>
      <c r="L34" s="214">
        <v>1324</v>
      </c>
      <c r="M34" s="215"/>
      <c r="N34" s="214"/>
      <c r="O34" s="215"/>
      <c r="P34" s="214"/>
      <c r="Q34" s="215"/>
      <c r="R34" s="214"/>
      <c r="S34" s="215"/>
      <c r="T34" s="214"/>
      <c r="U34" s="215"/>
      <c r="V34" s="214"/>
      <c r="W34" s="215"/>
      <c r="X34" s="214"/>
      <c r="Y34" s="215"/>
      <c r="Z34" s="214"/>
      <c r="AA34" s="215"/>
      <c r="AB34" s="214"/>
      <c r="AC34" s="215"/>
      <c r="AD34" s="214"/>
      <c r="AE34" s="215"/>
      <c r="AF34" s="214"/>
      <c r="AG34" s="215"/>
      <c r="AH34" s="214"/>
      <c r="AI34" s="215"/>
      <c r="AJ34" s="214"/>
      <c r="AK34" s="215"/>
      <c r="AL34" s="214"/>
      <c r="AM34" s="215"/>
      <c r="AN34" s="214"/>
      <c r="AO34" s="215"/>
      <c r="AP34" s="214"/>
      <c r="AQ34" s="215"/>
      <c r="AR34" s="214"/>
      <c r="AS34" s="215"/>
      <c r="AT34" s="214"/>
      <c r="AU34" s="215"/>
      <c r="AV34" s="214"/>
      <c r="AW34" s="319"/>
      <c r="AX34" s="214"/>
      <c r="AY34" s="215"/>
      <c r="AZ34" s="384">
        <f t="shared" si="0"/>
        <v>0</v>
      </c>
    </row>
    <row r="35" spans="1:54" s="79" customFormat="1">
      <c r="A35" s="391">
        <v>42557</v>
      </c>
      <c r="B35" s="257" t="s">
        <v>993</v>
      </c>
      <c r="C35" s="388" t="s">
        <v>733</v>
      </c>
      <c r="D35" s="214"/>
      <c r="E35" s="215">
        <v>300</v>
      </c>
      <c r="F35" s="214"/>
      <c r="G35" s="215"/>
      <c r="H35" s="214"/>
      <c r="I35" s="215"/>
      <c r="J35" s="214"/>
      <c r="K35" s="215"/>
      <c r="L35" s="214"/>
      <c r="M35" s="215"/>
      <c r="N35" s="214"/>
      <c r="O35" s="215"/>
      <c r="P35" s="214"/>
      <c r="Q35" s="215"/>
      <c r="R35" s="214"/>
      <c r="S35" s="215"/>
      <c r="T35" s="214"/>
      <c r="U35" s="215"/>
      <c r="V35" s="214"/>
      <c r="W35" s="215"/>
      <c r="X35" s="214"/>
      <c r="Y35" s="215"/>
      <c r="Z35" s="214"/>
      <c r="AA35" s="215"/>
      <c r="AB35" s="214">
        <v>300</v>
      </c>
      <c r="AC35" s="215"/>
      <c r="AD35" s="274"/>
      <c r="AE35" s="215"/>
      <c r="AF35" s="214"/>
      <c r="AG35" s="215"/>
      <c r="AH35" s="214"/>
      <c r="AI35" s="215"/>
      <c r="AJ35" s="214"/>
      <c r="AK35" s="215"/>
      <c r="AL35" s="214"/>
      <c r="AM35" s="215"/>
      <c r="AN35" s="214"/>
      <c r="AO35" s="215"/>
      <c r="AP35" s="214"/>
      <c r="AQ35" s="215"/>
      <c r="AR35" s="214"/>
      <c r="AS35" s="215"/>
      <c r="AT35" s="214"/>
      <c r="AU35" s="215"/>
      <c r="AV35" s="214"/>
      <c r="AW35" s="319"/>
      <c r="AX35" s="214"/>
      <c r="AY35" s="215"/>
      <c r="AZ35" s="243">
        <f t="shared" si="0"/>
        <v>0</v>
      </c>
    </row>
    <row r="36" spans="1:54" s="385" customFormat="1">
      <c r="A36" s="391">
        <v>42557</v>
      </c>
      <c r="B36" s="257" t="s">
        <v>994</v>
      </c>
      <c r="C36" s="388" t="s">
        <v>734</v>
      </c>
      <c r="D36" s="214"/>
      <c r="E36" s="386">
        <v>3270</v>
      </c>
      <c r="F36" s="214"/>
      <c r="G36" s="215"/>
      <c r="H36" s="214">
        <v>3270</v>
      </c>
      <c r="I36" s="215"/>
      <c r="J36" s="214"/>
      <c r="K36" s="215"/>
      <c r="L36" s="214"/>
      <c r="M36" s="215"/>
      <c r="N36" s="214"/>
      <c r="O36" s="215"/>
      <c r="P36" s="214"/>
      <c r="Q36" s="215"/>
      <c r="R36" s="214"/>
      <c r="S36" s="215"/>
      <c r="T36" s="214"/>
      <c r="U36" s="215"/>
      <c r="V36" s="214"/>
      <c r="W36" s="215"/>
      <c r="X36" s="214"/>
      <c r="Y36" s="215"/>
      <c r="Z36" s="214"/>
      <c r="AA36" s="215"/>
      <c r="AB36" s="214"/>
      <c r="AC36" s="215"/>
      <c r="AD36" s="214"/>
      <c r="AE36" s="215"/>
      <c r="AF36" s="214"/>
      <c r="AG36" s="215"/>
      <c r="AH36" s="214"/>
      <c r="AI36" s="215"/>
      <c r="AJ36" s="214"/>
      <c r="AK36" s="215"/>
      <c r="AL36" s="214"/>
      <c r="AM36" s="215"/>
      <c r="AN36" s="214"/>
      <c r="AO36" s="215"/>
      <c r="AP36" s="214"/>
      <c r="AQ36" s="215"/>
      <c r="AR36" s="214"/>
      <c r="AS36" s="215"/>
      <c r="AT36" s="214"/>
      <c r="AU36" s="215"/>
      <c r="AV36" s="214"/>
      <c r="AW36" s="319"/>
      <c r="AX36" s="214"/>
      <c r="AY36" s="215"/>
      <c r="AZ36" s="384">
        <f t="shared" si="0"/>
        <v>0</v>
      </c>
    </row>
    <row r="37" spans="1:54" s="79" customFormat="1">
      <c r="A37" s="391">
        <v>42583</v>
      </c>
      <c r="B37" s="257" t="s">
        <v>980</v>
      </c>
      <c r="C37" s="388" t="s">
        <v>735</v>
      </c>
      <c r="D37" s="214"/>
      <c r="E37" s="215">
        <v>91.5</v>
      </c>
      <c r="F37" s="214"/>
      <c r="G37" s="215"/>
      <c r="H37" s="214"/>
      <c r="I37" s="215"/>
      <c r="J37" s="214"/>
      <c r="K37" s="215"/>
      <c r="L37" s="214"/>
      <c r="M37" s="215"/>
      <c r="N37" s="214"/>
      <c r="O37" s="215"/>
      <c r="P37" s="362">
        <v>91.5</v>
      </c>
      <c r="Q37" s="215"/>
      <c r="R37" s="214"/>
      <c r="S37" s="215"/>
      <c r="T37" s="214"/>
      <c r="U37" s="215"/>
      <c r="V37" s="214"/>
      <c r="W37" s="215"/>
      <c r="X37" s="214"/>
      <c r="Y37" s="215"/>
      <c r="Z37" s="214"/>
      <c r="AA37" s="215"/>
      <c r="AB37" s="214"/>
      <c r="AC37" s="215"/>
      <c r="AD37" s="214"/>
      <c r="AE37" s="215"/>
      <c r="AF37" s="214"/>
      <c r="AG37" s="215"/>
      <c r="AH37" s="214"/>
      <c r="AI37" s="215"/>
      <c r="AJ37" s="214"/>
      <c r="AK37" s="215"/>
      <c r="AL37" s="214"/>
      <c r="AM37" s="215"/>
      <c r="AN37" s="214"/>
      <c r="AO37" s="215"/>
      <c r="AP37" s="214"/>
      <c r="AQ37" s="215"/>
      <c r="AR37" s="214"/>
      <c r="AS37" s="215"/>
      <c r="AT37" s="214"/>
      <c r="AU37" s="215"/>
      <c r="AV37" s="214"/>
      <c r="AW37" s="319"/>
      <c r="AX37" s="214"/>
      <c r="AY37" s="215"/>
      <c r="AZ37" s="243">
        <f t="shared" si="0"/>
        <v>0</v>
      </c>
    </row>
    <row r="38" spans="1:54" s="79" customFormat="1">
      <c r="A38" s="408">
        <v>42605</v>
      </c>
      <c r="B38" s="409" t="s">
        <v>981</v>
      </c>
      <c r="C38" s="405" t="s">
        <v>735</v>
      </c>
      <c r="D38" s="406">
        <v>300</v>
      </c>
      <c r="E38" s="407"/>
      <c r="F38" s="214"/>
      <c r="G38" s="215"/>
      <c r="H38" s="214"/>
      <c r="I38" s="215"/>
      <c r="J38" s="214"/>
      <c r="K38" s="215"/>
      <c r="L38" s="214"/>
      <c r="M38" s="215"/>
      <c r="N38" s="214"/>
      <c r="O38" s="215"/>
      <c r="P38" s="362"/>
      <c r="Q38" s="215"/>
      <c r="R38" s="214"/>
      <c r="S38" s="215"/>
      <c r="T38" s="214"/>
      <c r="U38" s="215"/>
      <c r="V38" s="214"/>
      <c r="W38" s="215"/>
      <c r="X38" s="214"/>
      <c r="Y38" s="215"/>
      <c r="Z38" s="214"/>
      <c r="AA38" s="215"/>
      <c r="AB38" s="214"/>
      <c r="AC38" s="215">
        <v>300</v>
      </c>
      <c r="AD38" s="214"/>
      <c r="AE38" s="215"/>
      <c r="AF38" s="214"/>
      <c r="AG38" s="215"/>
      <c r="AH38" s="214"/>
      <c r="AI38" s="215"/>
      <c r="AJ38" s="214"/>
      <c r="AK38" s="215"/>
      <c r="AL38" s="214"/>
      <c r="AM38" s="215"/>
      <c r="AN38" s="214"/>
      <c r="AO38" s="215"/>
      <c r="AP38" s="214"/>
      <c r="AQ38" s="215"/>
      <c r="AR38" s="214"/>
      <c r="AS38" s="215"/>
      <c r="AT38" s="214"/>
      <c r="AU38" s="215"/>
      <c r="AV38" s="214"/>
      <c r="AW38" s="319"/>
      <c r="AX38" s="214"/>
      <c r="AY38" s="215"/>
      <c r="AZ38" s="243">
        <f t="shared" si="0"/>
        <v>0</v>
      </c>
    </row>
    <row r="39" spans="1:54" s="79" customFormat="1">
      <c r="A39" s="391">
        <v>42614</v>
      </c>
      <c r="B39" s="394" t="s">
        <v>980</v>
      </c>
      <c r="C39" s="388" t="s">
        <v>736</v>
      </c>
      <c r="D39" s="214"/>
      <c r="E39" s="215">
        <v>80</v>
      </c>
      <c r="F39" s="214"/>
      <c r="G39" s="215"/>
      <c r="H39" s="214"/>
      <c r="I39" s="215"/>
      <c r="J39" s="214"/>
      <c r="K39" s="215"/>
      <c r="L39" s="214"/>
      <c r="M39" s="215"/>
      <c r="N39" s="214"/>
      <c r="O39" s="215"/>
      <c r="P39" s="362">
        <v>80</v>
      </c>
      <c r="Q39" s="215"/>
      <c r="R39" s="214"/>
      <c r="S39" s="215"/>
      <c r="T39" s="214"/>
      <c r="U39" s="215"/>
      <c r="V39" s="214"/>
      <c r="W39" s="215"/>
      <c r="X39" s="214"/>
      <c r="Y39" s="215"/>
      <c r="Z39" s="214"/>
      <c r="AA39" s="215"/>
      <c r="AB39" s="214"/>
      <c r="AC39" s="215"/>
      <c r="AD39" s="214"/>
      <c r="AE39" s="215"/>
      <c r="AF39" s="214"/>
      <c r="AG39" s="215"/>
      <c r="AH39" s="214"/>
      <c r="AI39" s="215"/>
      <c r="AJ39" s="214"/>
      <c r="AK39" s="215"/>
      <c r="AL39" s="214"/>
      <c r="AM39" s="215"/>
      <c r="AN39" s="214"/>
      <c r="AO39" s="215"/>
      <c r="AP39" s="214"/>
      <c r="AQ39" s="215"/>
      <c r="AR39" s="214"/>
      <c r="AS39" s="215"/>
      <c r="AT39" s="214"/>
      <c r="AU39" s="215"/>
      <c r="AV39" s="214"/>
      <c r="AW39" s="319"/>
      <c r="AX39" s="214"/>
      <c r="AY39" s="215"/>
      <c r="AZ39" s="243">
        <f t="shared" si="0"/>
        <v>0</v>
      </c>
      <c r="BB39" s="277"/>
    </row>
    <row r="40" spans="1:54" s="385" customFormat="1">
      <c r="A40" s="391">
        <v>42646</v>
      </c>
      <c r="B40" s="257" t="s">
        <v>980</v>
      </c>
      <c r="C40" s="388" t="s">
        <v>737</v>
      </c>
      <c r="D40" s="214"/>
      <c r="E40" s="215">
        <v>80</v>
      </c>
      <c r="F40" s="214"/>
      <c r="G40" s="215"/>
      <c r="H40" s="214"/>
      <c r="I40" s="215"/>
      <c r="J40" s="214"/>
      <c r="K40" s="215"/>
      <c r="L40" s="214"/>
      <c r="M40" s="215"/>
      <c r="N40" s="214"/>
      <c r="O40" s="215"/>
      <c r="P40" s="214">
        <v>80</v>
      </c>
      <c r="Q40" s="215"/>
      <c r="R40" s="214"/>
      <c r="S40" s="215"/>
      <c r="T40" s="214"/>
      <c r="U40" s="215"/>
      <c r="V40" s="214"/>
      <c r="W40" s="215"/>
      <c r="X40" s="214"/>
      <c r="Y40" s="215"/>
      <c r="Z40" s="214"/>
      <c r="AA40" s="215"/>
      <c r="AB40" s="214"/>
      <c r="AC40" s="215"/>
      <c r="AD40" s="214"/>
      <c r="AE40" s="215"/>
      <c r="AF40" s="214"/>
      <c r="AG40" s="215"/>
      <c r="AH40" s="214"/>
      <c r="AI40" s="215"/>
      <c r="AJ40" s="214"/>
      <c r="AK40" s="215"/>
      <c r="AL40" s="214"/>
      <c r="AM40" s="215"/>
      <c r="AN40" s="214"/>
      <c r="AO40" s="215"/>
      <c r="AP40" s="214"/>
      <c r="AQ40" s="215"/>
      <c r="AR40" s="214"/>
      <c r="AS40" s="215"/>
      <c r="AT40" s="214"/>
      <c r="AU40" s="215"/>
      <c r="AV40" s="214"/>
      <c r="AW40" s="319"/>
      <c r="AX40" s="214"/>
      <c r="AY40" s="215"/>
      <c r="AZ40" s="384">
        <f t="shared" si="0"/>
        <v>0</v>
      </c>
    </row>
    <row r="41" spans="1:54" s="79" customFormat="1">
      <c r="A41" s="391">
        <v>42647</v>
      </c>
      <c r="B41" s="257" t="s">
        <v>995</v>
      </c>
      <c r="C41" s="388" t="s">
        <v>738</v>
      </c>
      <c r="D41" s="214"/>
      <c r="E41" s="215">
        <v>5000</v>
      </c>
      <c r="F41" s="214"/>
      <c r="G41" s="215"/>
      <c r="H41" s="214"/>
      <c r="I41" s="215"/>
      <c r="J41" s="214"/>
      <c r="K41" s="215"/>
      <c r="L41" s="214"/>
      <c r="M41" s="215"/>
      <c r="N41" s="214"/>
      <c r="O41" s="215"/>
      <c r="P41" s="362"/>
      <c r="Q41" s="215"/>
      <c r="R41" s="214"/>
      <c r="S41" s="215"/>
      <c r="T41" s="214"/>
      <c r="U41" s="215"/>
      <c r="V41" s="214"/>
      <c r="W41" s="215"/>
      <c r="X41" s="214"/>
      <c r="Y41" s="215"/>
      <c r="Z41" s="214">
        <v>5000</v>
      </c>
      <c r="AA41" s="215"/>
      <c r="AB41" s="214"/>
      <c r="AC41" s="215"/>
      <c r="AD41" s="214"/>
      <c r="AE41" s="215"/>
      <c r="AF41" s="214"/>
      <c r="AG41" s="215"/>
      <c r="AH41" s="214"/>
      <c r="AI41" s="215"/>
      <c r="AJ41" s="214"/>
      <c r="AK41" s="215"/>
      <c r="AL41" s="214"/>
      <c r="AM41" s="215"/>
      <c r="AN41" s="214"/>
      <c r="AO41" s="215"/>
      <c r="AP41" s="214"/>
      <c r="AQ41" s="215"/>
      <c r="AR41" s="214"/>
      <c r="AS41" s="215"/>
      <c r="AT41" s="214"/>
      <c r="AU41" s="215"/>
      <c r="AV41" s="214"/>
      <c r="AW41" s="319"/>
      <c r="AX41" s="214"/>
      <c r="AY41" s="215"/>
      <c r="AZ41" s="243">
        <f t="shared" si="0"/>
        <v>0</v>
      </c>
    </row>
    <row r="42" spans="1:54" s="79" customFormat="1">
      <c r="A42" s="408">
        <v>42653</v>
      </c>
      <c r="B42" s="409" t="s">
        <v>981</v>
      </c>
      <c r="C42" s="405" t="s">
        <v>737</v>
      </c>
      <c r="D42" s="406">
        <v>300</v>
      </c>
      <c r="E42" s="407"/>
      <c r="F42" s="214"/>
      <c r="G42" s="215"/>
      <c r="H42" s="214"/>
      <c r="I42" s="215"/>
      <c r="J42" s="214"/>
      <c r="K42" s="215"/>
      <c r="L42" s="214"/>
      <c r="M42" s="215"/>
      <c r="N42" s="214"/>
      <c r="O42" s="215"/>
      <c r="P42" s="214"/>
      <c r="Q42" s="215"/>
      <c r="R42" s="214"/>
      <c r="S42" s="215"/>
      <c r="T42" s="214"/>
      <c r="U42" s="215"/>
      <c r="V42" s="214"/>
      <c r="W42" s="215"/>
      <c r="X42" s="214"/>
      <c r="Y42" s="215"/>
      <c r="Z42" s="214"/>
      <c r="AA42" s="215"/>
      <c r="AB42" s="214"/>
      <c r="AC42" s="215">
        <v>300</v>
      </c>
      <c r="AD42" s="214"/>
      <c r="AE42" s="215"/>
      <c r="AF42" s="214"/>
      <c r="AG42" s="215"/>
      <c r="AH42" s="214"/>
      <c r="AI42" s="215"/>
      <c r="AJ42" s="214"/>
      <c r="AK42" s="215"/>
      <c r="AL42" s="214"/>
      <c r="AM42" s="215"/>
      <c r="AN42" s="214"/>
      <c r="AO42" s="215"/>
      <c r="AP42" s="214"/>
      <c r="AQ42" s="215"/>
      <c r="AR42" s="214"/>
      <c r="AS42" s="215"/>
      <c r="AT42" s="214"/>
      <c r="AU42" s="215"/>
      <c r="AV42" s="214"/>
      <c r="AW42" s="319"/>
      <c r="AX42" s="214"/>
      <c r="AY42" s="215"/>
      <c r="AZ42" s="243">
        <f t="shared" si="0"/>
        <v>0</v>
      </c>
    </row>
    <row r="43" spans="1:54" s="79" customFormat="1">
      <c r="A43" s="392">
        <v>42667</v>
      </c>
      <c r="B43" s="257" t="s">
        <v>996</v>
      </c>
      <c r="C43" s="388" t="s">
        <v>737</v>
      </c>
      <c r="D43" s="214"/>
      <c r="E43" s="215">
        <v>1</v>
      </c>
      <c r="F43" s="214"/>
      <c r="G43" s="215"/>
      <c r="H43" s="214"/>
      <c r="I43" s="215"/>
      <c r="J43" s="214"/>
      <c r="K43" s="215"/>
      <c r="L43" s="214"/>
      <c r="M43" s="215"/>
      <c r="N43" s="214"/>
      <c r="O43" s="215"/>
      <c r="P43" s="214">
        <v>1</v>
      </c>
      <c r="Q43" s="215"/>
      <c r="R43" s="214"/>
      <c r="S43" s="215"/>
      <c r="T43" s="214"/>
      <c r="U43" s="215"/>
      <c r="V43" s="214"/>
      <c r="W43" s="215"/>
      <c r="X43" s="214"/>
      <c r="Y43" s="215"/>
      <c r="Z43" s="214"/>
      <c r="AA43" s="215"/>
      <c r="AB43" s="214"/>
      <c r="AC43" s="215"/>
      <c r="AD43" s="214"/>
      <c r="AE43" s="215"/>
      <c r="AF43" s="214"/>
      <c r="AG43" s="215"/>
      <c r="AH43" s="214"/>
      <c r="AI43" s="215"/>
      <c r="AJ43" s="214"/>
      <c r="AK43" s="215"/>
      <c r="AL43" s="214"/>
      <c r="AM43" s="215"/>
      <c r="AN43" s="214"/>
      <c r="AO43" s="215"/>
      <c r="AP43" s="214"/>
      <c r="AQ43" s="215"/>
      <c r="AR43" s="214"/>
      <c r="AS43" s="215"/>
      <c r="AT43" s="214"/>
      <c r="AU43" s="215"/>
      <c r="AV43" s="214"/>
      <c r="AW43" s="319"/>
      <c r="AX43" s="214"/>
      <c r="AY43" s="215"/>
      <c r="AZ43" s="243">
        <f t="shared" si="0"/>
        <v>0</v>
      </c>
    </row>
    <row r="44" spans="1:54" s="79" customFormat="1">
      <c r="A44" s="391">
        <v>42668</v>
      </c>
      <c r="B44" s="257" t="s">
        <v>997</v>
      </c>
      <c r="C44" s="388" t="s">
        <v>737</v>
      </c>
      <c r="D44" s="214">
        <v>1</v>
      </c>
      <c r="E44" s="215"/>
      <c r="F44" s="214"/>
      <c r="G44" s="215"/>
      <c r="H44" s="214"/>
      <c r="I44" s="215"/>
      <c r="J44" s="214"/>
      <c r="K44" s="215"/>
      <c r="L44" s="214"/>
      <c r="M44" s="215"/>
      <c r="N44" s="214"/>
      <c r="O44" s="215"/>
      <c r="P44" s="214"/>
      <c r="Q44" s="215">
        <v>1</v>
      </c>
      <c r="R44" s="214"/>
      <c r="S44" s="215"/>
      <c r="T44" s="214"/>
      <c r="U44" s="215"/>
      <c r="V44" s="214"/>
      <c r="W44" s="215"/>
      <c r="X44" s="214"/>
      <c r="Y44" s="215"/>
      <c r="Z44" s="214"/>
      <c r="AA44" s="215"/>
      <c r="AB44" s="214"/>
      <c r="AC44" s="215"/>
      <c r="AD44" s="214"/>
      <c r="AE44" s="215"/>
      <c r="AF44" s="214"/>
      <c r="AG44" s="215"/>
      <c r="AH44" s="214"/>
      <c r="AI44" s="215"/>
      <c r="AJ44" s="214"/>
      <c r="AK44" s="215"/>
      <c r="AL44" s="214"/>
      <c r="AM44" s="215"/>
      <c r="AN44" s="214"/>
      <c r="AO44" s="215"/>
      <c r="AP44" s="214"/>
      <c r="AQ44" s="215"/>
      <c r="AR44" s="214"/>
      <c r="AS44" s="215"/>
      <c r="AT44" s="214"/>
      <c r="AU44" s="215"/>
      <c r="AV44" s="214"/>
      <c r="AW44" s="319"/>
      <c r="AX44" s="214"/>
      <c r="AY44" s="215"/>
      <c r="AZ44" s="243">
        <f t="shared" si="0"/>
        <v>0</v>
      </c>
    </row>
    <row r="45" spans="1:54" s="79" customFormat="1">
      <c r="A45" s="393">
        <v>42670</v>
      </c>
      <c r="B45" s="394" t="s">
        <v>998</v>
      </c>
      <c r="C45" s="388" t="s">
        <v>739</v>
      </c>
      <c r="D45" s="362"/>
      <c r="E45" s="363">
        <v>340</v>
      </c>
      <c r="F45" s="362"/>
      <c r="G45" s="363"/>
      <c r="H45" s="362">
        <v>340</v>
      </c>
      <c r="I45" s="363"/>
      <c r="J45" s="362"/>
      <c r="K45" s="363"/>
      <c r="L45" s="362"/>
      <c r="M45" s="363"/>
      <c r="N45" s="362"/>
      <c r="O45" s="363"/>
      <c r="P45" s="362"/>
      <c r="Q45" s="363"/>
      <c r="R45" s="362"/>
      <c r="S45" s="363"/>
      <c r="T45" s="362"/>
      <c r="U45" s="363"/>
      <c r="V45" s="362"/>
      <c r="W45" s="363"/>
      <c r="X45" s="362"/>
      <c r="Y45" s="363"/>
      <c r="Z45" s="362"/>
      <c r="AA45" s="363"/>
      <c r="AB45" s="362"/>
      <c r="AC45" s="363"/>
      <c r="AD45" s="362"/>
      <c r="AE45" s="363"/>
      <c r="AF45" s="362"/>
      <c r="AG45" s="363"/>
      <c r="AH45" s="362"/>
      <c r="AI45" s="363"/>
      <c r="AJ45" s="362"/>
      <c r="AK45" s="363"/>
      <c r="AL45" s="362"/>
      <c r="AM45" s="363"/>
      <c r="AN45" s="362"/>
      <c r="AO45" s="363"/>
      <c r="AP45" s="362"/>
      <c r="AQ45" s="363"/>
      <c r="AR45" s="362"/>
      <c r="AS45" s="363"/>
      <c r="AT45" s="362"/>
      <c r="AU45" s="215"/>
      <c r="AV45" s="214"/>
      <c r="AW45" s="319"/>
      <c r="AX45" s="214"/>
      <c r="AY45" s="215"/>
      <c r="AZ45" s="243">
        <f t="shared" si="0"/>
        <v>0</v>
      </c>
    </row>
    <row r="46" spans="1:54" s="79" customFormat="1">
      <c r="A46" s="391">
        <v>42671</v>
      </c>
      <c r="B46" s="257" t="s">
        <v>1000</v>
      </c>
      <c r="C46" s="388" t="s">
        <v>740</v>
      </c>
      <c r="D46" s="214"/>
      <c r="E46" s="215">
        <v>67.38</v>
      </c>
      <c r="F46" s="214"/>
      <c r="G46" s="215"/>
      <c r="H46" s="214">
        <v>67.38</v>
      </c>
      <c r="I46" s="215"/>
      <c r="J46" s="214"/>
      <c r="K46" s="215"/>
      <c r="L46" s="214"/>
      <c r="M46" s="215"/>
      <c r="N46" s="214"/>
      <c r="O46" s="215"/>
      <c r="P46" s="214"/>
      <c r="Q46" s="215"/>
      <c r="R46" s="214"/>
      <c r="S46" s="215"/>
      <c r="T46" s="214"/>
      <c r="U46" s="215"/>
      <c r="V46" s="214"/>
      <c r="W46" s="215"/>
      <c r="X46" s="362"/>
      <c r="Y46" s="363"/>
      <c r="Z46" s="362"/>
      <c r="AA46" s="215"/>
      <c r="AB46" s="214"/>
      <c r="AC46" s="215"/>
      <c r="AD46" s="214"/>
      <c r="AE46" s="215"/>
      <c r="AF46" s="214"/>
      <c r="AG46" s="215"/>
      <c r="AH46" s="214"/>
      <c r="AI46" s="215"/>
      <c r="AJ46" s="214"/>
      <c r="AK46" s="215"/>
      <c r="AL46" s="214"/>
      <c r="AM46" s="215"/>
      <c r="AN46" s="214"/>
      <c r="AO46" s="215"/>
      <c r="AP46" s="214"/>
      <c r="AQ46" s="215"/>
      <c r="AR46" s="214"/>
      <c r="AS46" s="215"/>
      <c r="AT46" s="214"/>
      <c r="AU46" s="215"/>
      <c r="AV46" s="214"/>
      <c r="AW46" s="319"/>
      <c r="AX46" s="214"/>
      <c r="AY46" s="215"/>
      <c r="AZ46" s="243">
        <f t="shared" si="0"/>
        <v>0</v>
      </c>
      <c r="BB46" s="277"/>
    </row>
    <row r="47" spans="1:54" s="79" customFormat="1">
      <c r="A47" s="391">
        <v>42671</v>
      </c>
      <c r="B47" s="257" t="s">
        <v>1000</v>
      </c>
      <c r="C47" s="388" t="s">
        <v>741</v>
      </c>
      <c r="D47" s="214"/>
      <c r="E47" s="215">
        <v>771</v>
      </c>
      <c r="F47" s="214"/>
      <c r="G47" s="215"/>
      <c r="H47" s="214">
        <v>771</v>
      </c>
      <c r="I47" s="215"/>
      <c r="J47" s="214"/>
      <c r="K47" s="323"/>
      <c r="L47" s="214"/>
      <c r="M47" s="215"/>
      <c r="N47" s="214"/>
      <c r="O47" s="215"/>
      <c r="P47" s="214"/>
      <c r="Q47" s="215"/>
      <c r="R47" s="214"/>
      <c r="S47" s="215"/>
      <c r="T47" s="214"/>
      <c r="U47" s="215"/>
      <c r="V47" s="214"/>
      <c r="W47" s="215"/>
      <c r="X47" s="362"/>
      <c r="Y47" s="363"/>
      <c r="Z47" s="362"/>
      <c r="AA47" s="215"/>
      <c r="AB47" s="214"/>
      <c r="AC47" s="215"/>
      <c r="AD47" s="214"/>
      <c r="AE47" s="215"/>
      <c r="AF47" s="214"/>
      <c r="AG47" s="215"/>
      <c r="AH47" s="214"/>
      <c r="AI47" s="215"/>
      <c r="AJ47" s="214"/>
      <c r="AK47" s="215"/>
      <c r="AL47" s="214"/>
      <c r="AM47" s="215"/>
      <c r="AN47" s="214"/>
      <c r="AO47" s="215"/>
      <c r="AP47" s="214"/>
      <c r="AQ47" s="215"/>
      <c r="AR47" s="214"/>
      <c r="AS47" s="215"/>
      <c r="AT47" s="214"/>
      <c r="AU47" s="215"/>
      <c r="AV47" s="214"/>
      <c r="AW47" s="319"/>
      <c r="AX47" s="214"/>
      <c r="AY47" s="215"/>
      <c r="AZ47" s="243">
        <f t="shared" si="0"/>
        <v>0</v>
      </c>
    </row>
    <row r="48" spans="1:54" s="79" customFormat="1">
      <c r="A48" s="234">
        <v>42671</v>
      </c>
      <c r="B48" s="257" t="s">
        <v>999</v>
      </c>
      <c r="C48" s="388" t="s">
        <v>742</v>
      </c>
      <c r="D48" s="214"/>
      <c r="E48" s="215">
        <v>1400</v>
      </c>
      <c r="F48" s="214"/>
      <c r="G48" s="215"/>
      <c r="H48" s="214">
        <v>1400</v>
      </c>
      <c r="I48" s="215"/>
      <c r="J48" s="214"/>
      <c r="K48" s="215"/>
      <c r="L48" s="214"/>
      <c r="M48" s="215"/>
      <c r="N48" s="214"/>
      <c r="O48" s="215"/>
      <c r="P48" s="214"/>
      <c r="Q48" s="215"/>
      <c r="R48" s="214"/>
      <c r="S48" s="215"/>
      <c r="T48" s="214"/>
      <c r="U48" s="215"/>
      <c r="V48" s="214"/>
      <c r="W48" s="215"/>
      <c r="X48" s="362"/>
      <c r="Y48" s="363"/>
      <c r="Z48" s="362"/>
      <c r="AA48" s="215"/>
      <c r="AB48" s="214"/>
      <c r="AC48" s="215"/>
      <c r="AD48" s="214"/>
      <c r="AE48" s="215"/>
      <c r="AF48" s="214"/>
      <c r="AG48" s="215"/>
      <c r="AH48" s="214"/>
      <c r="AI48" s="215"/>
      <c r="AJ48" s="214"/>
      <c r="AK48" s="215"/>
      <c r="AL48" s="214"/>
      <c r="AM48" s="215"/>
      <c r="AN48" s="214"/>
      <c r="AO48" s="215"/>
      <c r="AP48" s="214"/>
      <c r="AQ48" s="215"/>
      <c r="AR48" s="214"/>
      <c r="AS48" s="215"/>
      <c r="AT48" s="214"/>
      <c r="AU48" s="215"/>
      <c r="AV48" s="214"/>
      <c r="AW48" s="319"/>
      <c r="AX48" s="214"/>
      <c r="AY48" s="215"/>
      <c r="AZ48" s="243">
        <f t="shared" si="0"/>
        <v>0</v>
      </c>
    </row>
    <row r="49" spans="1:54" s="79" customFormat="1">
      <c r="A49" s="234">
        <v>42671</v>
      </c>
      <c r="B49" s="257" t="s">
        <v>978</v>
      </c>
      <c r="C49" s="388" t="s">
        <v>743</v>
      </c>
      <c r="D49" s="214">
        <v>389</v>
      </c>
      <c r="E49" s="215"/>
      <c r="F49" s="214"/>
      <c r="G49" s="215"/>
      <c r="H49" s="214"/>
      <c r="I49" s="215"/>
      <c r="J49" s="214"/>
      <c r="K49" s="215"/>
      <c r="L49" s="214"/>
      <c r="M49" s="215"/>
      <c r="N49" s="214"/>
      <c r="O49" s="215"/>
      <c r="P49" s="214"/>
      <c r="Q49" s="215"/>
      <c r="R49" s="214"/>
      <c r="S49" s="215"/>
      <c r="T49" s="214"/>
      <c r="U49" s="215"/>
      <c r="V49" s="214"/>
      <c r="W49" s="215"/>
      <c r="X49" s="362"/>
      <c r="Y49" s="363"/>
      <c r="Z49" s="362"/>
      <c r="AA49" s="215"/>
      <c r="AB49" s="214"/>
      <c r="AC49" s="215"/>
      <c r="AD49" s="214"/>
      <c r="AE49" s="215"/>
      <c r="AF49" s="214"/>
      <c r="AG49" s="215"/>
      <c r="AH49" s="214"/>
      <c r="AI49" s="215">
        <v>389</v>
      </c>
      <c r="AJ49" s="214"/>
      <c r="AK49" s="215"/>
      <c r="AL49" s="214"/>
      <c r="AM49" s="215"/>
      <c r="AN49" s="214"/>
      <c r="AO49" s="215"/>
      <c r="AP49" s="214"/>
      <c r="AQ49" s="215"/>
      <c r="AR49" s="214"/>
      <c r="AS49" s="215"/>
      <c r="AT49" s="214"/>
      <c r="AU49" s="215"/>
      <c r="AV49" s="214"/>
      <c r="AW49" s="319"/>
      <c r="AX49" s="321"/>
      <c r="AY49" s="215"/>
      <c r="AZ49" s="243">
        <f t="shared" si="0"/>
        <v>0</v>
      </c>
    </row>
    <row r="50" spans="1:54" s="79" customFormat="1">
      <c r="A50" s="234">
        <v>42675</v>
      </c>
      <c r="B50" s="257" t="s">
        <v>980</v>
      </c>
      <c r="C50" s="388" t="s">
        <v>744</v>
      </c>
      <c r="D50" s="214"/>
      <c r="E50" s="215">
        <v>63.75</v>
      </c>
      <c r="F50" s="214"/>
      <c r="G50" s="215"/>
      <c r="H50" s="214"/>
      <c r="I50" s="215"/>
      <c r="J50" s="214"/>
      <c r="K50" s="215"/>
      <c r="L50" s="214"/>
      <c r="M50" s="215"/>
      <c r="N50" s="214"/>
      <c r="O50" s="215"/>
      <c r="P50" s="214">
        <v>63.75</v>
      </c>
      <c r="Q50" s="215"/>
      <c r="R50" s="214"/>
      <c r="S50" s="215"/>
      <c r="T50" s="214"/>
      <c r="U50" s="215"/>
      <c r="V50" s="214"/>
      <c r="W50" s="215"/>
      <c r="X50" s="362"/>
      <c r="Y50" s="363"/>
      <c r="Z50" s="362"/>
      <c r="AA50" s="215"/>
      <c r="AB50" s="214"/>
      <c r="AC50" s="215"/>
      <c r="AD50" s="214"/>
      <c r="AE50" s="215"/>
      <c r="AF50" s="214"/>
      <c r="AG50" s="215"/>
      <c r="AH50" s="214"/>
      <c r="AI50" s="215"/>
      <c r="AJ50" s="214"/>
      <c r="AK50" s="215"/>
      <c r="AL50" s="214"/>
      <c r="AM50" s="215"/>
      <c r="AN50" s="214"/>
      <c r="AO50" s="215"/>
      <c r="AP50" s="214"/>
      <c r="AQ50" s="215"/>
      <c r="AR50" s="214"/>
      <c r="AS50" s="215"/>
      <c r="AT50" s="214"/>
      <c r="AU50" s="215"/>
      <c r="AV50" s="214"/>
      <c r="AW50" s="319"/>
      <c r="AX50" s="214"/>
      <c r="AY50" s="215"/>
      <c r="AZ50" s="243">
        <f t="shared" si="0"/>
        <v>0</v>
      </c>
    </row>
    <row r="51" spans="1:54" s="79" customFormat="1">
      <c r="A51" s="234">
        <v>42675</v>
      </c>
      <c r="B51" s="257" t="s">
        <v>978</v>
      </c>
      <c r="C51" s="388" t="s">
        <v>770</v>
      </c>
      <c r="D51" s="214">
        <v>6155.84</v>
      </c>
      <c r="E51" s="215"/>
      <c r="F51" s="214"/>
      <c r="G51" s="215"/>
      <c r="H51" s="214"/>
      <c r="I51" s="215"/>
      <c r="J51" s="214"/>
      <c r="K51" s="215"/>
      <c r="L51" s="214"/>
      <c r="M51" s="215"/>
      <c r="N51" s="214"/>
      <c r="O51" s="215"/>
      <c r="P51" s="214"/>
      <c r="Q51" s="215"/>
      <c r="R51" s="214"/>
      <c r="S51" s="215"/>
      <c r="T51" s="214"/>
      <c r="U51" s="215"/>
      <c r="V51" s="214"/>
      <c r="W51" s="215"/>
      <c r="X51" s="214"/>
      <c r="Y51" s="215"/>
      <c r="Z51" s="214"/>
      <c r="AA51" s="215"/>
      <c r="AB51" s="214"/>
      <c r="AC51" s="215"/>
      <c r="AD51" s="214"/>
      <c r="AE51" s="215"/>
      <c r="AF51" s="214"/>
      <c r="AG51" s="215"/>
      <c r="AH51" s="214"/>
      <c r="AI51" s="215">
        <v>6155.84</v>
      </c>
      <c r="AJ51" s="214"/>
      <c r="AK51" s="215"/>
      <c r="AL51" s="214"/>
      <c r="AM51" s="215"/>
      <c r="AN51" s="214"/>
      <c r="AO51" s="215"/>
      <c r="AP51" s="214"/>
      <c r="AQ51" s="215"/>
      <c r="AR51" s="214"/>
      <c r="AS51" s="215"/>
      <c r="AT51" s="214"/>
      <c r="AU51" s="215"/>
      <c r="AV51" s="214"/>
      <c r="AW51" s="319"/>
      <c r="AX51" s="322"/>
      <c r="AY51" s="215"/>
      <c r="AZ51" s="243">
        <f t="shared" si="0"/>
        <v>0</v>
      </c>
    </row>
    <row r="52" spans="1:54" s="79" customFormat="1">
      <c r="A52" s="234">
        <v>42697</v>
      </c>
      <c r="B52" s="257" t="s">
        <v>1000</v>
      </c>
      <c r="C52" s="388" t="s">
        <v>771</v>
      </c>
      <c r="D52" s="214"/>
      <c r="E52" s="215">
        <v>410</v>
      </c>
      <c r="F52" s="214"/>
      <c r="G52" s="215"/>
      <c r="H52" s="214">
        <v>410</v>
      </c>
      <c r="I52" s="215"/>
      <c r="J52" s="214"/>
      <c r="K52" s="215"/>
      <c r="L52" s="214"/>
      <c r="M52" s="215"/>
      <c r="N52" s="214"/>
      <c r="O52" s="215"/>
      <c r="P52" s="214"/>
      <c r="Q52" s="215"/>
      <c r="R52" s="214"/>
      <c r="S52" s="215"/>
      <c r="T52" s="214"/>
      <c r="U52" s="215"/>
      <c r="V52" s="214"/>
      <c r="W52" s="215"/>
      <c r="X52" s="214"/>
      <c r="Y52" s="215"/>
      <c r="Z52" s="214"/>
      <c r="AA52" s="215"/>
      <c r="AB52" s="214"/>
      <c r="AC52" s="215"/>
      <c r="AD52" s="214"/>
      <c r="AE52" s="215"/>
      <c r="AF52" s="214"/>
      <c r="AG52" s="215"/>
      <c r="AH52" s="214"/>
      <c r="AI52" s="215"/>
      <c r="AJ52" s="214"/>
      <c r="AK52" s="215"/>
      <c r="AL52" s="214"/>
      <c r="AM52" s="215"/>
      <c r="AN52" s="214"/>
      <c r="AO52" s="215"/>
      <c r="AP52" s="214"/>
      <c r="AQ52" s="215"/>
      <c r="AR52" s="214"/>
      <c r="AS52" s="215"/>
      <c r="AT52" s="214"/>
      <c r="AU52" s="215"/>
      <c r="AV52" s="214"/>
      <c r="AW52" s="319"/>
      <c r="AX52" s="214"/>
      <c r="AY52" s="215"/>
      <c r="AZ52" s="243">
        <f t="shared" si="0"/>
        <v>0</v>
      </c>
    </row>
    <row r="53" spans="1:54" s="79" customFormat="1">
      <c r="A53" s="234">
        <v>42697</v>
      </c>
      <c r="B53" s="257" t="s">
        <v>999</v>
      </c>
      <c r="C53" s="388" t="s">
        <v>882</v>
      </c>
      <c r="D53" s="214"/>
      <c r="E53" s="215">
        <v>395</v>
      </c>
      <c r="F53" s="214"/>
      <c r="G53" s="215"/>
      <c r="H53" s="214">
        <v>395</v>
      </c>
      <c r="I53" s="215"/>
      <c r="J53" s="214"/>
      <c r="K53" s="215"/>
      <c r="L53" s="214"/>
      <c r="M53" s="215"/>
      <c r="N53" s="214"/>
      <c r="O53" s="215"/>
      <c r="P53" s="214"/>
      <c r="Q53" s="215"/>
      <c r="R53" s="214"/>
      <c r="S53" s="215"/>
      <c r="T53" s="214"/>
      <c r="U53" s="215"/>
      <c r="V53" s="214"/>
      <c r="W53" s="215"/>
      <c r="X53" s="214"/>
      <c r="Y53" s="215"/>
      <c r="Z53" s="214"/>
      <c r="AA53" s="215"/>
      <c r="AB53" s="214"/>
      <c r="AC53" s="215"/>
      <c r="AD53" s="214"/>
      <c r="AE53" s="215"/>
      <c r="AF53" s="214"/>
      <c r="AG53" s="215"/>
      <c r="AH53" s="214"/>
      <c r="AI53" s="215"/>
      <c r="AJ53" s="214"/>
      <c r="AK53" s="215"/>
      <c r="AL53" s="214"/>
      <c r="AM53" s="215"/>
      <c r="AN53" s="214"/>
      <c r="AO53" s="215"/>
      <c r="AP53" s="214"/>
      <c r="AQ53" s="215"/>
      <c r="AR53" s="214"/>
      <c r="AS53" s="215"/>
      <c r="AT53" s="214"/>
      <c r="AU53" s="215"/>
      <c r="AV53" s="214"/>
      <c r="AW53" s="319"/>
      <c r="AX53" s="214"/>
      <c r="AY53" s="215"/>
      <c r="AZ53" s="243">
        <f t="shared" si="0"/>
        <v>0</v>
      </c>
    </row>
    <row r="54" spans="1:54" s="79" customFormat="1">
      <c r="A54" s="234">
        <v>42697</v>
      </c>
      <c r="B54" s="257" t="s">
        <v>1001</v>
      </c>
      <c r="C54" s="388" t="s">
        <v>883</v>
      </c>
      <c r="D54" s="214"/>
      <c r="E54" s="215">
        <v>305</v>
      </c>
      <c r="F54" s="214"/>
      <c r="G54" s="215"/>
      <c r="H54" s="214"/>
      <c r="I54" s="215"/>
      <c r="J54" s="214"/>
      <c r="K54" s="215"/>
      <c r="L54" s="214"/>
      <c r="M54" s="215"/>
      <c r="N54" s="214"/>
      <c r="O54" s="215"/>
      <c r="P54" s="214">
        <v>305</v>
      </c>
      <c r="Q54" s="215"/>
      <c r="R54" s="214"/>
      <c r="S54" s="215"/>
      <c r="T54" s="214"/>
      <c r="U54" s="215"/>
      <c r="V54" s="214"/>
      <c r="W54" s="215"/>
      <c r="X54" s="214"/>
      <c r="Y54" s="215"/>
      <c r="Z54" s="214"/>
      <c r="AA54" s="215"/>
      <c r="AB54" s="214"/>
      <c r="AC54" s="215"/>
      <c r="AD54" s="214"/>
      <c r="AE54" s="215"/>
      <c r="AF54" s="214"/>
      <c r="AG54" s="215"/>
      <c r="AH54" s="214"/>
      <c r="AI54" s="215"/>
      <c r="AJ54" s="214"/>
      <c r="AK54" s="215"/>
      <c r="AL54" s="214"/>
      <c r="AM54" s="215"/>
      <c r="AN54" s="214"/>
      <c r="AO54" s="215"/>
      <c r="AP54" s="214"/>
      <c r="AQ54" s="215"/>
      <c r="AR54" s="214"/>
      <c r="AS54" s="215"/>
      <c r="AT54" s="214"/>
      <c r="AU54" s="215"/>
      <c r="AV54" s="214"/>
      <c r="AW54" s="319"/>
      <c r="AX54" s="214"/>
      <c r="AY54" s="215"/>
      <c r="AZ54" s="243">
        <f t="shared" si="0"/>
        <v>0</v>
      </c>
    </row>
    <row r="55" spans="1:54" s="79" customFormat="1">
      <c r="A55" s="234">
        <v>42705</v>
      </c>
      <c r="B55" s="257" t="s">
        <v>980</v>
      </c>
      <c r="C55" s="388" t="s">
        <v>884</v>
      </c>
      <c r="D55" s="214"/>
      <c r="E55" s="215">
        <v>47</v>
      </c>
      <c r="F55" s="214"/>
      <c r="G55" s="215"/>
      <c r="H55" s="214"/>
      <c r="I55" s="215"/>
      <c r="J55" s="214"/>
      <c r="K55" s="215"/>
      <c r="L55" s="214"/>
      <c r="M55" s="215"/>
      <c r="N55" s="214"/>
      <c r="O55" s="215"/>
      <c r="P55" s="214">
        <v>47</v>
      </c>
      <c r="Q55" s="215"/>
      <c r="R55" s="214"/>
      <c r="S55" s="215"/>
      <c r="T55" s="214"/>
      <c r="U55" s="215"/>
      <c r="V55" s="214"/>
      <c r="W55" s="215"/>
      <c r="X55" s="214"/>
      <c r="Y55" s="215"/>
      <c r="Z55" s="214"/>
      <c r="AA55" s="215"/>
      <c r="AB55" s="214"/>
      <c r="AC55" s="215"/>
      <c r="AD55" s="214"/>
      <c r="AE55" s="215"/>
      <c r="AF55" s="214"/>
      <c r="AG55" s="215"/>
      <c r="AH55" s="214"/>
      <c r="AI55" s="215"/>
      <c r="AJ55" s="214"/>
      <c r="AK55" s="215"/>
      <c r="AL55" s="214"/>
      <c r="AM55" s="215"/>
      <c r="AN55" s="214"/>
      <c r="AO55" s="215"/>
      <c r="AP55" s="214"/>
      <c r="AQ55" s="215"/>
      <c r="AR55" s="214"/>
      <c r="AS55" s="215"/>
      <c r="AT55" s="214"/>
      <c r="AU55" s="215"/>
      <c r="AV55" s="214"/>
      <c r="AW55" s="319"/>
      <c r="AX55" s="214"/>
      <c r="AY55" s="215"/>
      <c r="AZ55" s="243">
        <f t="shared" si="0"/>
        <v>0</v>
      </c>
    </row>
    <row r="56" spans="1:54" s="79" customFormat="1">
      <c r="A56" s="403">
        <v>42711</v>
      </c>
      <c r="B56" s="404" t="s">
        <v>982</v>
      </c>
      <c r="C56" s="405" t="s">
        <v>884</v>
      </c>
      <c r="D56" s="406">
        <v>600</v>
      </c>
      <c r="E56" s="407"/>
      <c r="F56" s="214"/>
      <c r="G56" s="215"/>
      <c r="H56" s="214"/>
      <c r="I56" s="215"/>
      <c r="J56" s="214"/>
      <c r="K56" s="215"/>
      <c r="L56" s="214"/>
      <c r="M56" s="215"/>
      <c r="N56" s="214"/>
      <c r="O56" s="215"/>
      <c r="P56" s="214"/>
      <c r="Q56" s="215"/>
      <c r="R56" s="214"/>
      <c r="S56" s="215"/>
      <c r="T56" s="214"/>
      <c r="U56" s="215"/>
      <c r="V56" s="214"/>
      <c r="W56" s="215"/>
      <c r="X56" s="214"/>
      <c r="Y56" s="215"/>
      <c r="Z56" s="214"/>
      <c r="AA56" s="215"/>
      <c r="AB56" s="214"/>
      <c r="AC56" s="215">
        <v>600</v>
      </c>
      <c r="AD56" s="214"/>
      <c r="AE56" s="215"/>
      <c r="AF56" s="214"/>
      <c r="AG56" s="215"/>
      <c r="AH56" s="214"/>
      <c r="AI56" s="215"/>
      <c r="AJ56" s="214"/>
      <c r="AK56" s="215"/>
      <c r="AL56" s="214"/>
      <c r="AM56" s="215"/>
      <c r="AN56" s="214"/>
      <c r="AO56" s="215"/>
      <c r="AP56" s="214"/>
      <c r="AQ56" s="215"/>
      <c r="AR56" s="214"/>
      <c r="AS56" s="215"/>
      <c r="AT56" s="214"/>
      <c r="AU56" s="215"/>
      <c r="AV56" s="214"/>
      <c r="AW56" s="319"/>
      <c r="AX56" s="214"/>
      <c r="AY56" s="215"/>
      <c r="AZ56" s="243">
        <f t="shared" si="0"/>
        <v>0</v>
      </c>
    </row>
    <row r="57" spans="1:54" s="79" customFormat="1">
      <c r="A57" s="234">
        <v>42717</v>
      </c>
      <c r="B57" s="257" t="s">
        <v>979</v>
      </c>
      <c r="C57" s="388" t="s">
        <v>884</v>
      </c>
      <c r="D57" s="214">
        <v>2603</v>
      </c>
      <c r="E57" s="215"/>
      <c r="F57" s="214"/>
      <c r="G57" s="215"/>
      <c r="H57" s="214"/>
      <c r="I57" s="215"/>
      <c r="J57" s="214"/>
      <c r="K57" s="215"/>
      <c r="L57" s="214"/>
      <c r="M57" s="215"/>
      <c r="N57" s="214"/>
      <c r="O57" s="215"/>
      <c r="P57" s="214"/>
      <c r="Q57" s="215"/>
      <c r="R57" s="214"/>
      <c r="S57" s="215"/>
      <c r="T57" s="214"/>
      <c r="U57" s="215"/>
      <c r="V57" s="214"/>
      <c r="W57" s="215"/>
      <c r="X57" s="214"/>
      <c r="Y57" s="215"/>
      <c r="Z57" s="214"/>
      <c r="AA57" s="215"/>
      <c r="AB57" s="214"/>
      <c r="AC57" s="215"/>
      <c r="AD57" s="214"/>
      <c r="AE57" s="215"/>
      <c r="AF57" s="214"/>
      <c r="AG57" s="215"/>
      <c r="AH57" s="214"/>
      <c r="AI57" s="215">
        <v>2603</v>
      </c>
      <c r="AJ57" s="214"/>
      <c r="AK57" s="215"/>
      <c r="AL57" s="214"/>
      <c r="AM57" s="215"/>
      <c r="AN57" s="214"/>
      <c r="AO57" s="215"/>
      <c r="AP57" s="214"/>
      <c r="AQ57" s="215"/>
      <c r="AR57" s="214"/>
      <c r="AS57" s="215"/>
      <c r="AT57" s="214"/>
      <c r="AU57" s="215"/>
      <c r="AV57" s="214"/>
      <c r="AW57" s="319"/>
      <c r="AX57" s="214"/>
      <c r="AY57" s="215"/>
      <c r="AZ57" s="243">
        <f t="shared" si="0"/>
        <v>0</v>
      </c>
    </row>
    <row r="58" spans="1:54" s="79" customFormat="1">
      <c r="A58" s="234">
        <v>42735</v>
      </c>
      <c r="B58" s="257" t="s">
        <v>1003</v>
      </c>
      <c r="C58" s="388" t="s">
        <v>884</v>
      </c>
      <c r="D58" s="214">
        <v>59.24</v>
      </c>
      <c r="E58" s="215"/>
      <c r="F58" s="214"/>
      <c r="G58" s="215"/>
      <c r="H58" s="214"/>
      <c r="I58" s="215"/>
      <c r="J58" s="214"/>
      <c r="K58" s="215"/>
      <c r="L58" s="214"/>
      <c r="M58" s="215"/>
      <c r="N58" s="214"/>
      <c r="O58" s="215"/>
      <c r="P58" s="214"/>
      <c r="Q58" s="215"/>
      <c r="R58" s="214"/>
      <c r="S58" s="215"/>
      <c r="T58" s="214"/>
      <c r="U58" s="215"/>
      <c r="V58" s="214"/>
      <c r="W58" s="215"/>
      <c r="X58" s="214"/>
      <c r="Y58" s="215"/>
      <c r="Z58" s="214"/>
      <c r="AA58" s="215"/>
      <c r="AB58" s="214"/>
      <c r="AC58" s="215"/>
      <c r="AD58" s="214"/>
      <c r="AE58" s="215"/>
      <c r="AF58" s="214"/>
      <c r="AG58" s="215">
        <v>59.24</v>
      </c>
      <c r="AH58" s="214"/>
      <c r="AI58" s="215"/>
      <c r="AJ58" s="214"/>
      <c r="AK58" s="215"/>
      <c r="AL58" s="214"/>
      <c r="AM58" s="215"/>
      <c r="AN58" s="214"/>
      <c r="AO58" s="215"/>
      <c r="AP58" s="214"/>
      <c r="AQ58" s="215"/>
      <c r="AR58" s="214"/>
      <c r="AS58" s="215"/>
      <c r="AT58" s="214"/>
      <c r="AU58" s="215"/>
      <c r="AV58" s="214"/>
      <c r="AW58" s="319"/>
      <c r="AX58" s="214"/>
      <c r="AY58" s="215"/>
      <c r="AZ58" s="243">
        <f t="shared" si="0"/>
        <v>0</v>
      </c>
    </row>
    <row r="59" spans="1:54" s="79" customFormat="1">
      <c r="A59" s="234">
        <v>42735</v>
      </c>
      <c r="B59" s="257" t="s">
        <v>625</v>
      </c>
      <c r="C59" s="388" t="s">
        <v>713</v>
      </c>
      <c r="D59" s="214"/>
      <c r="E59" s="215"/>
      <c r="F59" s="214"/>
      <c r="G59" s="215"/>
      <c r="H59" s="214"/>
      <c r="I59" s="215"/>
      <c r="J59" s="214"/>
      <c r="K59" s="215"/>
      <c r="L59" s="214"/>
      <c r="M59" s="215"/>
      <c r="N59" s="214"/>
      <c r="O59" s="215"/>
      <c r="P59" s="214"/>
      <c r="Q59" s="215"/>
      <c r="R59" s="214"/>
      <c r="S59" s="215"/>
      <c r="T59" s="214"/>
      <c r="U59" s="215"/>
      <c r="V59" s="214"/>
      <c r="W59" s="215"/>
      <c r="X59" s="214"/>
      <c r="Y59" s="215"/>
      <c r="Z59" s="214"/>
      <c r="AA59" s="215"/>
      <c r="AB59" s="214"/>
      <c r="AC59" s="215"/>
      <c r="AD59" s="214">
        <v>4149.8900000000003</v>
      </c>
      <c r="AE59" s="215"/>
      <c r="AF59" s="214"/>
      <c r="AG59" s="215">
        <v>4149.8900000000003</v>
      </c>
      <c r="AH59" s="214"/>
      <c r="AI59" s="215"/>
      <c r="AJ59" s="214"/>
      <c r="AK59" s="215"/>
      <c r="AL59" s="214"/>
      <c r="AM59" s="215"/>
      <c r="AN59" s="214"/>
      <c r="AO59" s="215"/>
      <c r="AP59" s="214"/>
      <c r="AQ59" s="215"/>
      <c r="AR59" s="214"/>
      <c r="AS59" s="215"/>
      <c r="AT59" s="214"/>
      <c r="AU59" s="215"/>
      <c r="AV59" s="214"/>
      <c r="AW59" s="319"/>
      <c r="AX59" s="214"/>
      <c r="AY59" s="215"/>
      <c r="AZ59" s="243">
        <f t="shared" si="0"/>
        <v>0</v>
      </c>
    </row>
    <row r="60" spans="1:54" s="79" customFormat="1">
      <c r="A60" s="234">
        <v>42735</v>
      </c>
      <c r="B60" s="257" t="s">
        <v>1006</v>
      </c>
      <c r="C60" s="388" t="s">
        <v>775</v>
      </c>
      <c r="D60" s="214"/>
      <c r="E60" s="215"/>
      <c r="F60" s="214"/>
      <c r="G60" s="215"/>
      <c r="H60" s="79">
        <v>1226.25</v>
      </c>
      <c r="I60" s="215"/>
      <c r="J60" s="214"/>
      <c r="K60" s="215"/>
      <c r="L60" s="214"/>
      <c r="M60" s="215"/>
      <c r="N60" s="214"/>
      <c r="O60" s="215"/>
      <c r="P60" s="214"/>
      <c r="Q60" s="215"/>
      <c r="R60" s="214"/>
      <c r="S60" s="215"/>
      <c r="T60" s="214"/>
      <c r="U60" s="215"/>
      <c r="V60" s="214"/>
      <c r="W60" s="215"/>
      <c r="X60" s="214"/>
      <c r="Y60" s="215"/>
      <c r="Z60" s="214"/>
      <c r="AA60" s="215"/>
      <c r="AB60" s="214"/>
      <c r="AC60" s="215"/>
      <c r="AD60" s="214"/>
      <c r="AE60" s="215"/>
      <c r="AF60" s="214"/>
      <c r="AG60" s="215"/>
      <c r="AH60" s="214"/>
      <c r="AI60" s="215"/>
      <c r="AJ60" s="214"/>
      <c r="AK60" s="215"/>
      <c r="AL60" s="214"/>
      <c r="AM60" s="215"/>
      <c r="AN60" s="214"/>
      <c r="AO60" s="215"/>
      <c r="AP60" s="214"/>
      <c r="AQ60" s="215"/>
      <c r="AR60" s="214"/>
      <c r="AS60" s="215"/>
      <c r="AT60" s="214"/>
      <c r="AU60" s="215"/>
      <c r="AV60" s="214"/>
      <c r="AW60" s="215">
        <v>1226.25</v>
      </c>
      <c r="AX60" s="214"/>
      <c r="AY60" s="215"/>
      <c r="AZ60" s="243">
        <f>+D60-E60+F60-G60+H60-I60+J60-K60+L60-M60+N60-O60+P60-Q60+R60-S60+T60-U60+V60-W60+X60-Y60+Z60-AA60+AB60-AC60+AD60-AE60+AF60-AG60+AH60-AI60+AJ60-AK60+AL60-AM60+AN60-AO60+AP60-AQ60+AR60-AS60+AT60-AU60+AV60-AW60+AX60-AY60</f>
        <v>0</v>
      </c>
    </row>
    <row r="61" spans="1:54" s="79" customFormat="1">
      <c r="A61" s="234">
        <v>42735</v>
      </c>
      <c r="B61" s="257" t="s">
        <v>1033</v>
      </c>
      <c r="C61" s="388" t="s">
        <v>777</v>
      </c>
      <c r="D61" s="214"/>
      <c r="E61" s="215"/>
      <c r="F61" s="214"/>
      <c r="G61" s="215"/>
      <c r="H61" s="214"/>
      <c r="I61" s="215">
        <v>776.16</v>
      </c>
      <c r="J61" s="214"/>
      <c r="K61" s="215"/>
      <c r="L61" s="214"/>
      <c r="M61" s="215"/>
      <c r="N61" s="214"/>
      <c r="O61" s="215"/>
      <c r="P61" s="214"/>
      <c r="Q61" s="215"/>
      <c r="R61" s="214"/>
      <c r="S61" s="215"/>
      <c r="T61" s="214"/>
      <c r="U61" s="215"/>
      <c r="V61" s="214"/>
      <c r="W61" s="215"/>
      <c r="X61" s="214"/>
      <c r="Y61" s="215"/>
      <c r="Z61" s="214"/>
      <c r="AA61" s="215"/>
      <c r="AB61" s="214"/>
      <c r="AC61" s="215"/>
      <c r="AD61" s="214"/>
      <c r="AE61" s="215"/>
      <c r="AF61" s="214"/>
      <c r="AH61" s="214"/>
      <c r="AI61" s="215"/>
      <c r="AJ61" s="214"/>
      <c r="AK61" s="215"/>
      <c r="AL61" s="214"/>
      <c r="AM61" s="215"/>
      <c r="AN61" s="214"/>
      <c r="AO61" s="215"/>
      <c r="AP61" s="214"/>
      <c r="AQ61" s="215"/>
      <c r="AR61" s="214"/>
      <c r="AS61" s="215"/>
      <c r="AT61" s="214"/>
      <c r="AU61" s="215"/>
      <c r="AV61" s="214"/>
      <c r="AW61" s="319"/>
      <c r="AX61" s="214">
        <v>776.16</v>
      </c>
      <c r="AY61" s="215"/>
      <c r="AZ61" s="243">
        <f t="shared" si="0"/>
        <v>0</v>
      </c>
    </row>
    <row r="62" spans="1:54" s="79" customFormat="1">
      <c r="A62" s="234">
        <v>42735</v>
      </c>
      <c r="B62" s="257" t="s">
        <v>999</v>
      </c>
      <c r="C62" s="388" t="s">
        <v>778</v>
      </c>
      <c r="D62" s="214"/>
      <c r="E62" s="385"/>
      <c r="F62" s="214"/>
      <c r="G62" s="215"/>
      <c r="H62" s="400">
        <v>561.19000000000005</v>
      </c>
      <c r="I62" s="215"/>
      <c r="J62" s="214"/>
      <c r="K62" s="215"/>
      <c r="L62" s="214"/>
      <c r="M62" s="215"/>
      <c r="N62" s="214"/>
      <c r="O62" s="215"/>
      <c r="P62" s="214"/>
      <c r="Q62" s="215"/>
      <c r="R62" s="214"/>
      <c r="S62" s="215"/>
      <c r="T62" s="214"/>
      <c r="U62" s="215"/>
      <c r="V62" s="214"/>
      <c r="W62" s="215"/>
      <c r="X62" s="362"/>
      <c r="Y62" s="363"/>
      <c r="Z62" s="362"/>
      <c r="AA62" s="215"/>
      <c r="AB62" s="214"/>
      <c r="AC62" s="215"/>
      <c r="AD62" s="214"/>
      <c r="AE62" s="215"/>
      <c r="AF62" s="214"/>
      <c r="AG62" s="215"/>
      <c r="AH62" s="214"/>
      <c r="AI62" s="215"/>
      <c r="AJ62" s="214"/>
      <c r="AK62" s="215"/>
      <c r="AL62" s="214"/>
      <c r="AM62" s="215"/>
      <c r="AN62" s="214"/>
      <c r="AO62" s="215"/>
      <c r="AP62" s="214"/>
      <c r="AQ62" s="215"/>
      <c r="AR62" s="214"/>
      <c r="AS62" s="215"/>
      <c r="AT62" s="214"/>
      <c r="AU62" s="215"/>
      <c r="AV62" s="214"/>
      <c r="AW62" s="215">
        <v>561.19000000000005</v>
      </c>
      <c r="AX62" s="214"/>
      <c r="AY62" s="215"/>
      <c r="AZ62" s="243">
        <f t="shared" ref="AZ62:AZ67" si="1">+D62-E62+F62-G62+H62-I62+J62-K62+L62-M62+N62-O62+P62-Q62+R62-S62+T62-U62+V62-W62+X62-Y62+Z62-AA62+AB62-AC62+AD62-AE62+AF62-AG62+AH62-AI62+AJ62-AK62+AL62-AM62+AN62-AO62+AP62-AQ62+AR62-AS62+AT62-AU62+AV62-AW62+AX62-AY62</f>
        <v>0</v>
      </c>
    </row>
    <row r="63" spans="1:54" s="79" customFormat="1">
      <c r="A63" s="234">
        <v>42735</v>
      </c>
      <c r="B63" s="257" t="s">
        <v>990</v>
      </c>
      <c r="C63" s="388" t="s">
        <v>779</v>
      </c>
      <c r="D63" s="214"/>
      <c r="E63" s="215"/>
      <c r="F63" s="214"/>
      <c r="G63" s="215"/>
      <c r="H63" s="214"/>
      <c r="I63" s="215"/>
      <c r="J63" s="214">
        <v>47.4</v>
      </c>
      <c r="K63" s="215"/>
      <c r="L63" s="214"/>
      <c r="M63" s="215"/>
      <c r="N63" s="214"/>
      <c r="O63" s="215"/>
      <c r="P63" s="214"/>
      <c r="Q63" s="215"/>
      <c r="R63" s="214"/>
      <c r="S63" s="215"/>
      <c r="T63" s="214"/>
      <c r="U63" s="215"/>
      <c r="V63" s="214"/>
      <c r="W63" s="215"/>
      <c r="X63" s="214"/>
      <c r="Y63" s="215"/>
      <c r="Z63" s="214"/>
      <c r="AA63" s="215"/>
      <c r="AB63" s="214"/>
      <c r="AC63" s="215"/>
      <c r="AD63" s="214"/>
      <c r="AE63" s="215"/>
      <c r="AF63" s="214"/>
      <c r="AG63" s="395"/>
      <c r="AH63" s="214"/>
      <c r="AI63" s="215"/>
      <c r="AJ63" s="214"/>
      <c r="AK63" s="215"/>
      <c r="AL63" s="214"/>
      <c r="AM63" s="215"/>
      <c r="AN63" s="214"/>
      <c r="AO63" s="215"/>
      <c r="AP63" s="214"/>
      <c r="AQ63" s="215"/>
      <c r="AR63" s="214"/>
      <c r="AS63" s="215"/>
      <c r="AT63" s="214"/>
      <c r="AU63" s="215"/>
      <c r="AV63" s="214"/>
      <c r="AW63" s="319">
        <v>47.4</v>
      </c>
      <c r="AX63" s="214"/>
      <c r="AY63" s="215"/>
      <c r="AZ63" s="243">
        <f t="shared" si="1"/>
        <v>0</v>
      </c>
      <c r="BB63" s="193"/>
    </row>
    <row r="64" spans="1:54" s="79" customFormat="1">
      <c r="A64" s="234">
        <v>42735</v>
      </c>
      <c r="B64" s="257" t="s">
        <v>1038</v>
      </c>
      <c r="C64" s="388" t="s">
        <v>1039</v>
      </c>
      <c r="D64" s="214"/>
      <c r="E64" s="215"/>
      <c r="F64" s="214"/>
      <c r="G64" s="215"/>
      <c r="H64" s="214"/>
      <c r="I64" s="215"/>
      <c r="J64" s="214"/>
      <c r="K64" s="215"/>
      <c r="L64" s="214"/>
      <c r="M64" s="215"/>
      <c r="N64" s="214"/>
      <c r="O64" s="215"/>
      <c r="P64" s="214">
        <v>713</v>
      </c>
      <c r="Q64" s="215"/>
      <c r="R64" s="214"/>
      <c r="S64" s="215"/>
      <c r="T64" s="214"/>
      <c r="U64" s="215"/>
      <c r="V64" s="214"/>
      <c r="W64" s="215"/>
      <c r="X64" s="214"/>
      <c r="Y64" s="215"/>
      <c r="Z64" s="214"/>
      <c r="AA64" s="215"/>
      <c r="AB64" s="214"/>
      <c r="AC64" s="215"/>
      <c r="AD64" s="214"/>
      <c r="AE64" s="215"/>
      <c r="AF64" s="214"/>
      <c r="AG64" s="395"/>
      <c r="AH64" s="214"/>
      <c r="AI64" s="215"/>
      <c r="AJ64" s="214"/>
      <c r="AK64" s="215"/>
      <c r="AL64" s="214"/>
      <c r="AM64" s="215"/>
      <c r="AN64" s="214"/>
      <c r="AO64" s="215"/>
      <c r="AP64" s="214"/>
      <c r="AQ64" s="215"/>
      <c r="AR64" s="214"/>
      <c r="AS64" s="215"/>
      <c r="AT64" s="214"/>
      <c r="AU64" s="215"/>
      <c r="AV64" s="214"/>
      <c r="AW64" s="319">
        <v>713</v>
      </c>
      <c r="AX64" s="214"/>
      <c r="AY64" s="215"/>
      <c r="AZ64" s="243">
        <f t="shared" si="1"/>
        <v>0</v>
      </c>
    </row>
    <row r="65" spans="1:70" s="79" customFormat="1">
      <c r="A65" s="234">
        <v>42735</v>
      </c>
      <c r="B65" s="257" t="s">
        <v>1040</v>
      </c>
      <c r="C65" s="388" t="s">
        <v>1041</v>
      </c>
      <c r="D65" s="214"/>
      <c r="E65" s="215"/>
      <c r="F65" s="214"/>
      <c r="G65" s="215"/>
      <c r="H65" s="214">
        <v>351.39</v>
      </c>
      <c r="I65" s="215"/>
      <c r="J65" s="214"/>
      <c r="K65" s="215"/>
      <c r="L65" s="214"/>
      <c r="M65" s="215"/>
      <c r="N65" s="214"/>
      <c r="O65" s="215"/>
      <c r="P65" s="214"/>
      <c r="Q65" s="215"/>
      <c r="R65" s="214"/>
      <c r="S65" s="215"/>
      <c r="T65" s="214"/>
      <c r="U65" s="215"/>
      <c r="V65" s="214"/>
      <c r="W65" s="215"/>
      <c r="X65" s="214"/>
      <c r="Y65" s="215"/>
      <c r="Z65" s="214"/>
      <c r="AA65" s="215"/>
      <c r="AB65" s="214"/>
      <c r="AC65" s="215"/>
      <c r="AD65" s="214"/>
      <c r="AE65" s="215"/>
      <c r="AF65" s="214"/>
      <c r="AG65" s="395"/>
      <c r="AH65" s="214"/>
      <c r="AI65" s="215"/>
      <c r="AJ65" s="214"/>
      <c r="AK65" s="215"/>
      <c r="AL65" s="214"/>
      <c r="AM65" s="215"/>
      <c r="AN65" s="214"/>
      <c r="AO65" s="215"/>
      <c r="AP65" s="214"/>
      <c r="AQ65" s="215"/>
      <c r="AR65" s="214"/>
      <c r="AS65" s="215"/>
      <c r="AT65" s="214"/>
      <c r="AU65" s="215"/>
      <c r="AV65" s="214"/>
      <c r="AW65" s="319">
        <v>351.39</v>
      </c>
      <c r="AX65" s="214"/>
      <c r="AY65" s="215"/>
      <c r="AZ65" s="243">
        <f t="shared" si="1"/>
        <v>0</v>
      </c>
      <c r="BB65" s="193"/>
    </row>
    <row r="66" spans="1:70" s="79" customFormat="1">
      <c r="A66" s="234">
        <v>42735</v>
      </c>
      <c r="B66" s="122" t="s">
        <v>1042</v>
      </c>
      <c r="C66" s="388" t="s">
        <v>1043</v>
      </c>
      <c r="D66" s="214"/>
      <c r="E66" s="215"/>
      <c r="F66" s="214"/>
      <c r="G66" s="215"/>
      <c r="H66" s="214"/>
      <c r="I66" s="215"/>
      <c r="J66" s="214"/>
      <c r="K66" s="215"/>
      <c r="L66" s="214"/>
      <c r="M66" s="215"/>
      <c r="N66" s="214"/>
      <c r="O66" s="215"/>
      <c r="P66" s="214">
        <v>895</v>
      </c>
      <c r="Q66" s="215"/>
      <c r="R66" s="214"/>
      <c r="S66" s="215"/>
      <c r="T66" s="214"/>
      <c r="U66" s="215"/>
      <c r="V66" s="214"/>
      <c r="W66" s="215"/>
      <c r="X66" s="214"/>
      <c r="Y66" s="215"/>
      <c r="Z66" s="214"/>
      <c r="AA66" s="215"/>
      <c r="AB66" s="214"/>
      <c r="AC66" s="215"/>
      <c r="AD66" s="214"/>
      <c r="AE66" s="215"/>
      <c r="AF66" s="214"/>
      <c r="AG66" s="395"/>
      <c r="AH66" s="214"/>
      <c r="AI66" s="215"/>
      <c r="AJ66" s="214"/>
      <c r="AK66" s="215"/>
      <c r="AL66" s="214"/>
      <c r="AM66" s="215"/>
      <c r="AN66" s="214"/>
      <c r="AO66" s="215"/>
      <c r="AP66" s="214"/>
      <c r="AQ66" s="215"/>
      <c r="AR66" s="214"/>
      <c r="AS66" s="215"/>
      <c r="AT66" s="214"/>
      <c r="AU66" s="215"/>
      <c r="AV66" s="214"/>
      <c r="AW66" s="319">
        <v>895</v>
      </c>
      <c r="AX66" s="214"/>
      <c r="AY66" s="215"/>
      <c r="AZ66" s="243">
        <f t="shared" si="1"/>
        <v>0</v>
      </c>
    </row>
    <row r="67" spans="1:70" s="79" customFormat="1">
      <c r="A67" s="234">
        <v>42735</v>
      </c>
      <c r="B67" s="122" t="s">
        <v>1053</v>
      </c>
      <c r="C67" s="388" t="s">
        <v>1054</v>
      </c>
      <c r="D67" s="214"/>
      <c r="E67" s="215"/>
      <c r="F67" s="214"/>
      <c r="G67" s="215"/>
      <c r="H67" s="214"/>
      <c r="I67" s="215"/>
      <c r="J67" s="214"/>
      <c r="K67" s="215"/>
      <c r="L67" s="214"/>
      <c r="M67" s="215"/>
      <c r="N67" s="214"/>
      <c r="O67" s="215"/>
      <c r="P67" s="214"/>
      <c r="Q67" s="215"/>
      <c r="R67" s="214"/>
      <c r="S67" s="215"/>
      <c r="T67" s="214"/>
      <c r="U67" s="215"/>
      <c r="V67" s="214"/>
      <c r="W67" s="215"/>
      <c r="X67" s="214">
        <v>105000</v>
      </c>
      <c r="Y67" s="215"/>
      <c r="Z67" s="214"/>
      <c r="AA67" s="215"/>
      <c r="AB67" s="214"/>
      <c r="AC67" s="215"/>
      <c r="AD67" s="214"/>
      <c r="AE67" s="215"/>
      <c r="AF67" s="214"/>
      <c r="AG67" s="395"/>
      <c r="AH67" s="214"/>
      <c r="AI67" s="215"/>
      <c r="AJ67" s="214"/>
      <c r="AK67" s="215"/>
      <c r="AL67" s="214"/>
      <c r="AM67" s="215"/>
      <c r="AN67" s="214"/>
      <c r="AO67" s="215"/>
      <c r="AP67" s="214"/>
      <c r="AQ67" s="215"/>
      <c r="AR67" s="214"/>
      <c r="AS67" s="215"/>
      <c r="AT67" s="214"/>
      <c r="AU67" s="215"/>
      <c r="AV67" s="214"/>
      <c r="AW67" s="319">
        <v>105000</v>
      </c>
      <c r="AX67" s="214"/>
      <c r="AY67" s="215"/>
      <c r="AZ67" s="243">
        <f t="shared" si="1"/>
        <v>0</v>
      </c>
    </row>
    <row r="68" spans="1:70" s="79" customFormat="1">
      <c r="A68" s="234"/>
      <c r="B68" s="280"/>
      <c r="C68" s="284"/>
      <c r="D68" s="214"/>
      <c r="E68" s="215"/>
      <c r="F68" s="214"/>
      <c r="G68" s="215"/>
      <c r="H68" s="214"/>
      <c r="I68" s="215"/>
      <c r="J68" s="214"/>
      <c r="K68" s="215"/>
      <c r="L68" s="214"/>
      <c r="M68" s="215"/>
      <c r="N68" s="214"/>
      <c r="O68" s="215"/>
      <c r="P68" s="214"/>
      <c r="Q68" s="215"/>
      <c r="R68" s="214"/>
      <c r="S68" s="215"/>
      <c r="T68" s="214"/>
      <c r="U68" s="215"/>
      <c r="V68" s="214"/>
      <c r="W68" s="215"/>
      <c r="X68" s="214"/>
      <c r="Y68" s="215"/>
      <c r="Z68" s="214"/>
      <c r="AA68" s="215"/>
      <c r="AB68" s="214"/>
      <c r="AC68" s="215"/>
      <c r="AD68" s="214"/>
      <c r="AE68" s="215"/>
      <c r="AF68" s="214"/>
      <c r="AG68" s="215"/>
      <c r="AH68" s="214"/>
      <c r="AI68" s="215"/>
      <c r="AJ68" s="214"/>
      <c r="AK68" s="215"/>
      <c r="AL68" s="214"/>
      <c r="AM68" s="215"/>
      <c r="AN68" s="214"/>
      <c r="AO68" s="215"/>
      <c r="AP68" s="214"/>
      <c r="AQ68" s="215"/>
      <c r="AR68" s="214"/>
      <c r="AS68" s="215"/>
      <c r="AT68" s="214"/>
      <c r="AU68" s="215"/>
      <c r="AV68" s="214"/>
      <c r="AW68" s="319"/>
      <c r="AX68" s="214"/>
      <c r="AY68" s="215"/>
      <c r="AZ68" s="243">
        <f t="shared" si="0"/>
        <v>0</v>
      </c>
    </row>
    <row r="69" spans="1:70" s="202" customFormat="1">
      <c r="A69" s="235"/>
      <c r="B69" s="207" t="s">
        <v>41</v>
      </c>
      <c r="C69" s="207"/>
      <c r="D69" s="216">
        <f>SUM(D9:D68)</f>
        <v>96773.180000000008</v>
      </c>
      <c r="E69" s="217"/>
      <c r="F69" s="216">
        <f>SUM(F9:F68)</f>
        <v>5000</v>
      </c>
      <c r="G69" s="217"/>
      <c r="H69" s="216">
        <f>SUM(H9:H68)</f>
        <v>9572.2100000000009</v>
      </c>
      <c r="I69" s="217"/>
      <c r="J69" s="216">
        <f>SUM(J9:J68)</f>
        <v>7831.98</v>
      </c>
      <c r="K69" s="217"/>
      <c r="L69" s="216">
        <f>SUM(L9:L68)</f>
        <v>1324</v>
      </c>
      <c r="M69" s="217"/>
      <c r="N69" s="216">
        <f>SUM(N9:N68)</f>
        <v>0</v>
      </c>
      <c r="O69" s="217"/>
      <c r="P69" s="216">
        <f>SUM(P9:P68)</f>
        <v>5230.5</v>
      </c>
      <c r="Q69" s="217"/>
      <c r="R69" s="216">
        <f>SUM(R9:R68)</f>
        <v>2500</v>
      </c>
      <c r="S69" s="217"/>
      <c r="T69" s="216">
        <f>SUM(T9:T68)</f>
        <v>265</v>
      </c>
      <c r="U69" s="217"/>
      <c r="V69" s="216">
        <f>SUM(V9:V68)</f>
        <v>0</v>
      </c>
      <c r="W69" s="217"/>
      <c r="X69" s="216">
        <f>SUM(X9:X68)</f>
        <v>105000</v>
      </c>
      <c r="Y69" s="217"/>
      <c r="Z69" s="216">
        <f>SUM(Z9:Z68)</f>
        <v>5000</v>
      </c>
      <c r="AA69" s="217"/>
      <c r="AB69" s="216">
        <f>SUM(AB9:AB68)</f>
        <v>300</v>
      </c>
      <c r="AC69" s="217"/>
      <c r="AD69" s="216">
        <f>SUM(AD9:AD68)</f>
        <v>834127.87</v>
      </c>
      <c r="AE69" s="217"/>
      <c r="AF69" s="216">
        <f>SUM(AF9:AF68)</f>
        <v>0</v>
      </c>
      <c r="AG69" s="217"/>
      <c r="AH69" s="216">
        <f>SUM(AH9:AH68)</f>
        <v>0</v>
      </c>
      <c r="AI69" s="217"/>
      <c r="AJ69" s="216">
        <f>SUM(AJ9:AJ68)</f>
        <v>950000</v>
      </c>
      <c r="AK69" s="217"/>
      <c r="AL69" s="216">
        <f>SUM(AL9:AL68)</f>
        <v>112480</v>
      </c>
      <c r="AM69" s="217"/>
      <c r="AN69" s="216">
        <f>SUM(AN9:AN68)</f>
        <v>20000</v>
      </c>
      <c r="AO69" s="217"/>
      <c r="AP69" s="216">
        <f>SUM(AP9:AP68)</f>
        <v>0</v>
      </c>
      <c r="AQ69" s="217"/>
      <c r="AR69" s="216">
        <f>SUM(AR9:AR68)</f>
        <v>0</v>
      </c>
      <c r="AS69" s="217"/>
      <c r="AT69" s="216">
        <f>SUM(AT9:AT68)</f>
        <v>0</v>
      </c>
      <c r="AU69" s="217"/>
      <c r="AV69" s="216">
        <f>SUM(AV9:AV68)</f>
        <v>0</v>
      </c>
      <c r="AW69" s="375"/>
      <c r="AX69" s="216">
        <f>SUM(AX9:AX68)</f>
        <v>2576.16</v>
      </c>
      <c r="AY69" s="217"/>
      <c r="AZ69" s="203">
        <f t="shared" si="0"/>
        <v>2157980.9000000004</v>
      </c>
      <c r="BA69" s="202" t="s">
        <v>28</v>
      </c>
    </row>
    <row r="70" spans="1:70" s="202" customFormat="1">
      <c r="A70" s="235"/>
      <c r="B70" s="204" t="s">
        <v>42</v>
      </c>
      <c r="C70" s="204"/>
      <c r="D70" s="218"/>
      <c r="E70" s="219">
        <f>SUM(E9:E68)</f>
        <v>33229.460000000006</v>
      </c>
      <c r="F70" s="218"/>
      <c r="G70" s="219">
        <f>SUM(G9:G68)</f>
        <v>0</v>
      </c>
      <c r="H70" s="218"/>
      <c r="I70" s="219">
        <f>SUM(I9:I68)</f>
        <v>776.16</v>
      </c>
      <c r="J70" s="218"/>
      <c r="K70" s="219">
        <f>SUM(K9:K68)</f>
        <v>0</v>
      </c>
      <c r="L70" s="218"/>
      <c r="M70" s="219">
        <f>SUM(M9:M68)</f>
        <v>0</v>
      </c>
      <c r="N70" s="218"/>
      <c r="O70" s="219">
        <f>SUM(O9:O68)</f>
        <v>0</v>
      </c>
      <c r="P70" s="218"/>
      <c r="Q70" s="219">
        <f>SUM(Q9:Q68)</f>
        <v>1</v>
      </c>
      <c r="R70" s="218"/>
      <c r="S70" s="219">
        <f>SUM(S9:S68)</f>
        <v>0</v>
      </c>
      <c r="T70" s="218"/>
      <c r="U70" s="219">
        <f>SUM(U9:U68)</f>
        <v>0</v>
      </c>
      <c r="V70" s="218"/>
      <c r="W70" s="219">
        <f>SUM(W9:W68)</f>
        <v>0</v>
      </c>
      <c r="X70" s="218"/>
      <c r="Y70" s="219">
        <f>SUM(Y9:Y68)</f>
        <v>0</v>
      </c>
      <c r="Z70" s="218"/>
      <c r="AA70" s="219">
        <f>SUM(AA9:AA68)</f>
        <v>0</v>
      </c>
      <c r="AB70" s="218"/>
      <c r="AC70" s="219">
        <f>SUM(AC9:AC68)</f>
        <v>34095</v>
      </c>
      <c r="AD70" s="218"/>
      <c r="AE70" s="219">
        <f>SUM(AE9:AE68)</f>
        <v>0</v>
      </c>
      <c r="AF70" s="218"/>
      <c r="AG70" s="219">
        <f>SUM(AG9:AG68)</f>
        <v>4209.13</v>
      </c>
      <c r="AH70" s="218"/>
      <c r="AI70" s="219">
        <f>SUM(AI9:AI68)</f>
        <v>9147.84</v>
      </c>
      <c r="AJ70" s="218"/>
      <c r="AK70" s="219">
        <f>SUM(AK9:AK68)</f>
        <v>0</v>
      </c>
      <c r="AL70" s="218"/>
      <c r="AM70" s="219">
        <f>SUM(AM9:AM68)</f>
        <v>0</v>
      </c>
      <c r="AN70" s="218"/>
      <c r="AO70" s="219">
        <f>SUM(AO9:AO68)</f>
        <v>0</v>
      </c>
      <c r="AP70" s="218"/>
      <c r="AQ70" s="219">
        <f>SUM(AQ9:AQ68)</f>
        <v>1082480</v>
      </c>
      <c r="AR70" s="218"/>
      <c r="AS70" s="219">
        <f>SUM(AS9:AS68)</f>
        <v>722845.36036122043</v>
      </c>
      <c r="AT70" s="218"/>
      <c r="AU70" s="219">
        <f>SUM(AU9:AU68)</f>
        <v>160602.71963877956</v>
      </c>
      <c r="AV70" s="218"/>
      <c r="AW70" s="376">
        <f>SUM(AW9:AW68)</f>
        <v>108794.23</v>
      </c>
      <c r="AX70" s="218"/>
      <c r="AY70" s="219">
        <f>SUM(AY9:AY68)</f>
        <v>1800</v>
      </c>
      <c r="AZ70" s="203">
        <f t="shared" si="0"/>
        <v>-2157980.9000000004</v>
      </c>
      <c r="BA70" s="202" t="s">
        <v>29</v>
      </c>
    </row>
    <row r="71" spans="1:70" s="202" customFormat="1">
      <c r="A71" s="235"/>
      <c r="B71" s="204" t="s">
        <v>197</v>
      </c>
      <c r="C71" s="204"/>
      <c r="D71" s="220">
        <f>IF(D69&gt;=E70,D69-E70,"")</f>
        <v>63543.72</v>
      </c>
      <c r="E71" s="221" t="str">
        <f>IF(D69&lt;E70,E70-D69,"")</f>
        <v/>
      </c>
      <c r="F71" s="220">
        <f>IF(F69&gt;=G70,F69-G70,"")</f>
        <v>5000</v>
      </c>
      <c r="G71" s="221" t="str">
        <f>IF(F69&lt;G70,G70-F69,"")</f>
        <v/>
      </c>
      <c r="H71" s="220">
        <f>IF(H69&gt;=I70,H69-I70,"")</f>
        <v>8796.0500000000011</v>
      </c>
      <c r="I71" s="221" t="str">
        <f>IF(H69&lt;I70,I70-H69,"")</f>
        <v/>
      </c>
      <c r="J71" s="220">
        <f>IF(J69&gt;=K70,J69-K70,"")</f>
        <v>7831.98</v>
      </c>
      <c r="K71" s="221" t="str">
        <f>IF(J69&lt;K70,K70-J69,"")</f>
        <v/>
      </c>
      <c r="L71" s="220">
        <f>IF(L69&gt;=M70,L69-M70,"")</f>
        <v>1324</v>
      </c>
      <c r="M71" s="221" t="str">
        <f>IF(L69&lt;M70,M70-L69,"")</f>
        <v/>
      </c>
      <c r="N71" s="220">
        <f>IF(N69&gt;=O70,N69-O70,"")</f>
        <v>0</v>
      </c>
      <c r="O71" s="221" t="str">
        <f>IF(N69&lt;O70,O70-N69,"")</f>
        <v/>
      </c>
      <c r="P71" s="220">
        <f>IF(P69&gt;=Q70,P69-Q70,"")</f>
        <v>5229.5</v>
      </c>
      <c r="Q71" s="221" t="str">
        <f>IF(P69&lt;Q70,Q70-P69,"")</f>
        <v/>
      </c>
      <c r="R71" s="220">
        <f>IF(R69&gt;=S70,R69-S70,"")</f>
        <v>2500</v>
      </c>
      <c r="S71" s="221" t="str">
        <f>IF(R69&lt;S70,S70-R69,"")</f>
        <v/>
      </c>
      <c r="T71" s="220">
        <f>IF(T69&gt;=U70,T69-U70,"")</f>
        <v>265</v>
      </c>
      <c r="U71" s="221" t="str">
        <f>IF(T69&lt;U70,U70-T69,"")</f>
        <v/>
      </c>
      <c r="V71" s="220">
        <f>IF(V69&gt;=W70,V69-W70,"")</f>
        <v>0</v>
      </c>
      <c r="W71" s="221" t="str">
        <f>IF(V69&lt;W70,W70-V69,"")</f>
        <v/>
      </c>
      <c r="X71" s="220">
        <f>IF(X69&gt;=Y70,X69-Y70,"")</f>
        <v>105000</v>
      </c>
      <c r="Y71" s="221" t="str">
        <f>IF(X69&lt;Y70,Y70-X69,"")</f>
        <v/>
      </c>
      <c r="Z71" s="220">
        <f>IF(Z69&gt;=AA70,Z69-AA70,"")</f>
        <v>5000</v>
      </c>
      <c r="AA71" s="221" t="str">
        <f>IF(Z69&lt;AA70,AA70-Z69,"")</f>
        <v/>
      </c>
      <c r="AB71" s="220" t="str">
        <f>IF(AB69&gt;=AC70,AB69-AC70,"")</f>
        <v/>
      </c>
      <c r="AC71" s="221">
        <f>IF(AB69&lt;AC70,AC70-AB69,"")</f>
        <v>33795</v>
      </c>
      <c r="AD71" s="220">
        <f>IF(AD69&gt;=AE70,AD69-AE70,"")</f>
        <v>834127.87</v>
      </c>
      <c r="AE71" s="221" t="str">
        <f>IF(AD69&lt;AE70,AE70-AD69,"")</f>
        <v/>
      </c>
      <c r="AF71" s="220" t="str">
        <f>IF(AF69&gt;=AG70,AF69-AG70,"")</f>
        <v/>
      </c>
      <c r="AG71" s="221">
        <f>IF(AF69&lt;AG70,AG70-AF69,"")</f>
        <v>4209.13</v>
      </c>
      <c r="AH71" s="220" t="str">
        <f>IF(AH69&gt;=AI70,AH69-AI70,"")</f>
        <v/>
      </c>
      <c r="AI71" s="221">
        <f>IF(AH69&lt;AI70,AI70-AH69,"")</f>
        <v>9147.84</v>
      </c>
      <c r="AJ71" s="220">
        <f>IF(AJ69&gt;=AK70,AJ69-AK70,"")</f>
        <v>950000</v>
      </c>
      <c r="AK71" s="221" t="str">
        <f>IF(AJ69&lt;AK70,AK70-AJ69,"")</f>
        <v/>
      </c>
      <c r="AL71" s="220">
        <f>IF(AL69&gt;=AM70,AL69-AM70,"")</f>
        <v>112480</v>
      </c>
      <c r="AM71" s="221" t="str">
        <f>IF(AL69&lt;AM70,AM70-AL69,"")</f>
        <v/>
      </c>
      <c r="AN71" s="220">
        <f>IF(AN69&gt;=AO70,AN69-AO70,"")</f>
        <v>20000</v>
      </c>
      <c r="AO71" s="221" t="str">
        <f>IF(AN69&lt;AO70,AO70-AN69,"")</f>
        <v/>
      </c>
      <c r="AP71" s="220" t="str">
        <f>IF(AP69&gt;=AQ70,AP69-AQ70,"")</f>
        <v/>
      </c>
      <c r="AQ71" s="221">
        <f>IF(AP69&lt;AQ70,AQ70-AP69,"")</f>
        <v>1082480</v>
      </c>
      <c r="AR71" s="220" t="str">
        <f>IF(AR69&gt;=AS70,AR69-AS70,"")</f>
        <v/>
      </c>
      <c r="AS71" s="221">
        <f>IF(AR69&lt;AS70,AS70-AR69,"")</f>
        <v>722845.36036122043</v>
      </c>
      <c r="AT71" s="220" t="str">
        <f>IF(AT69&gt;=AU70,AT69-AU70,"")</f>
        <v/>
      </c>
      <c r="AU71" s="221">
        <f>IF(AT69&lt;AU70,AU70-AT69,"")</f>
        <v>160602.71963877956</v>
      </c>
      <c r="AV71" s="220" t="str">
        <f>IF(AV69&gt;=AW70,AV69-AW70,"")</f>
        <v/>
      </c>
      <c r="AW71" s="377">
        <f>IF(AV69&lt;AW70,AW70-AV69,"")</f>
        <v>108794.23</v>
      </c>
      <c r="AX71" s="220">
        <f>IF(AX69&gt;=AY70,AX69-AY70,"")</f>
        <v>776.15999999999985</v>
      </c>
      <c r="AY71" s="221" t="str">
        <f>IF(AX69&lt;AY70,AY70-AX69,"")</f>
        <v/>
      </c>
      <c r="AZ71" s="203">
        <f>SUM(AZ69:AZ70)</f>
        <v>0</v>
      </c>
    </row>
    <row r="72" spans="1:70" s="202" customFormat="1">
      <c r="A72" s="235"/>
      <c r="B72" s="207" t="s">
        <v>172</v>
      </c>
      <c r="C72" s="207"/>
      <c r="D72" s="216"/>
      <c r="E72" s="217"/>
      <c r="F72" s="216"/>
      <c r="G72" s="217"/>
      <c r="H72" s="216"/>
      <c r="I72" s="217"/>
      <c r="J72" s="216"/>
      <c r="K72" s="217"/>
      <c r="L72" s="216"/>
      <c r="M72" s="217"/>
      <c r="N72" s="216"/>
      <c r="O72" s="217"/>
      <c r="P72" s="216"/>
      <c r="Q72" s="217"/>
      <c r="R72" s="216"/>
      <c r="S72" s="217"/>
      <c r="T72" s="216"/>
      <c r="U72" s="217"/>
      <c r="V72" s="216"/>
      <c r="W72" s="217"/>
      <c r="X72" s="216"/>
      <c r="Y72" s="217"/>
      <c r="Z72" s="216"/>
      <c r="AA72" s="217"/>
      <c r="AB72" s="216"/>
      <c r="AC72" s="217"/>
      <c r="AD72" s="216"/>
      <c r="AE72" s="217"/>
      <c r="AF72" s="216"/>
      <c r="AG72" s="217"/>
      <c r="AH72" s="216"/>
      <c r="AI72" s="217"/>
      <c r="AJ72" s="216"/>
      <c r="AK72" s="217"/>
      <c r="AL72" s="216"/>
      <c r="AM72" s="217"/>
      <c r="AN72" s="216"/>
      <c r="AO72" s="217"/>
      <c r="AP72" s="216"/>
      <c r="AQ72" s="217"/>
      <c r="AR72" s="216"/>
      <c r="AS72" s="246">
        <f>D138</f>
        <v>722.84537777964306</v>
      </c>
      <c r="AT72" s="216"/>
      <c r="AU72" s="246">
        <f>D139</f>
        <v>-94517.405377779636</v>
      </c>
      <c r="AV72" s="216"/>
      <c r="AW72" s="375"/>
      <c r="AX72" s="216"/>
      <c r="AY72" s="217"/>
      <c r="AZ72" s="193">
        <f>+D72-E72+F72-G72+H72-I72+J72-K72+L72-M72+N72-O72+P72-Q72+R72-S72+T72-U72+V72-W72+X72-Y72+Z72-AA72+AB72-AC72+AD72-AE72+AF72-AG72+AH72-AI72+AJ72-AK72+AL72-AM72+AN72-AO72+AP72-AQ72+AR72-AS72+AT72-AU72+AV72-AW72+AX72-AY72</f>
        <v>93794.559999999998</v>
      </c>
      <c r="BA72" s="203"/>
    </row>
    <row r="73" spans="1:70" s="202" customFormat="1" ht="13.5" thickBot="1">
      <c r="A73" s="236"/>
      <c r="B73" s="275" t="s">
        <v>839</v>
      </c>
      <c r="C73" s="237"/>
      <c r="D73" s="238">
        <f>D71+D72</f>
        <v>63543.72</v>
      </c>
      <c r="E73" s="239"/>
      <c r="F73" s="238"/>
      <c r="G73" s="239"/>
      <c r="H73" s="238"/>
      <c r="I73" s="239"/>
      <c r="J73" s="238"/>
      <c r="K73" s="239"/>
      <c r="L73" s="238"/>
      <c r="M73" s="239"/>
      <c r="N73" s="238"/>
      <c r="O73" s="239"/>
      <c r="P73" s="238"/>
      <c r="Q73" s="239"/>
      <c r="R73" s="238"/>
      <c r="S73" s="239"/>
      <c r="T73" s="238"/>
      <c r="U73" s="239"/>
      <c r="V73" s="238"/>
      <c r="W73" s="239"/>
      <c r="X73" s="238"/>
      <c r="Y73" s="239"/>
      <c r="Z73" s="238"/>
      <c r="AA73" s="239"/>
      <c r="AB73" s="238"/>
      <c r="AC73" s="239"/>
      <c r="AD73" s="238">
        <f>AD71+AD72</f>
        <v>834127.87</v>
      </c>
      <c r="AE73" s="239"/>
      <c r="AF73" s="238"/>
      <c r="AG73" s="239"/>
      <c r="AH73" s="238"/>
      <c r="AI73" s="239"/>
      <c r="AJ73" s="238">
        <f>AJ71+AJ72</f>
        <v>950000</v>
      </c>
      <c r="AK73" s="239"/>
      <c r="AL73" s="238">
        <f>AL71+AL72</f>
        <v>112480</v>
      </c>
      <c r="AM73" s="239"/>
      <c r="AN73" s="238">
        <f>AN71+AN72</f>
        <v>20000</v>
      </c>
      <c r="AO73" s="239"/>
      <c r="AP73" s="238"/>
      <c r="AQ73" s="239">
        <f>AQ71+AQ72</f>
        <v>1082480</v>
      </c>
      <c r="AR73" s="238"/>
      <c r="AS73" s="239">
        <f>AS71+AS72</f>
        <v>723568.20573900011</v>
      </c>
      <c r="AT73" s="238"/>
      <c r="AU73" s="239">
        <f>AU71+AU72</f>
        <v>66085.314260999919</v>
      </c>
      <c r="AV73" s="238"/>
      <c r="AW73" s="378">
        <f>AW71+AW72-AV72</f>
        <v>108794.23</v>
      </c>
      <c r="AX73" s="238">
        <f>AX71+AX72</f>
        <v>776.15999999999985</v>
      </c>
      <c r="AY73" s="239"/>
      <c r="AZ73" s="193">
        <f>+D73-E73+F73-G73+H73-I73+J73-K73+L73-M73+N73-O73+P73-Q73+R73-S73+T73-U73+V73-W73+X73-Y73+Z73-AA73+AB73-AC73+AD73-AE73+AF73-AG73+AH73-AI73+AJ73-AK73+AL73-AM73+AN73-AO73+AP73-AQ73+AR73-AS73+AT73-AU73+AV73-AW73+AX73-AY73</f>
        <v>-1.7826096154749393E-10</v>
      </c>
    </row>
    <row r="74" spans="1:70">
      <c r="B74" s="158"/>
      <c r="E74" s="113"/>
      <c r="F74" s="159"/>
      <c r="AZ74" s="113"/>
    </row>
    <row r="75" spans="1:70">
      <c r="E75" s="43"/>
      <c r="F75" s="113"/>
    </row>
    <row r="76" spans="1:70">
      <c r="BR76" s="113"/>
    </row>
    <row r="77" spans="1:70" ht="24.75">
      <c r="B77" s="552" t="s">
        <v>975</v>
      </c>
      <c r="C77" s="552"/>
      <c r="D77" s="552"/>
      <c r="E77" s="552"/>
      <c r="F77" s="552"/>
    </row>
    <row r="79" spans="1:70" ht="19.5">
      <c r="B79" s="148" t="s">
        <v>51</v>
      </c>
      <c r="C79" s="148"/>
      <c r="D79" s="383">
        <v>2016</v>
      </c>
      <c r="E79" s="383">
        <v>2015</v>
      </c>
      <c r="F79" s="338" t="s">
        <v>894</v>
      </c>
    </row>
    <row r="80" spans="1:70">
      <c r="B80" s="35"/>
      <c r="F80" s="331"/>
    </row>
    <row r="81" spans="2:33">
      <c r="B81" s="33" t="s">
        <v>52</v>
      </c>
      <c r="F81" s="331"/>
    </row>
    <row r="82" spans="2:33">
      <c r="B82" s="33" t="s">
        <v>53</v>
      </c>
      <c r="F82" s="331"/>
      <c r="H82" s="35"/>
      <c r="AF82" s="34"/>
      <c r="AG82" s="34"/>
    </row>
    <row r="83" spans="2:33">
      <c r="B83" s="276" t="s">
        <v>670</v>
      </c>
      <c r="C83" s="177"/>
      <c r="D83" s="440">
        <f>$D$69-$E$70</f>
        <v>63543.72</v>
      </c>
      <c r="E83" s="440">
        <f>'Regnskap 2015'!D73</f>
        <v>51670.100000000006</v>
      </c>
      <c r="F83" s="441">
        <f>D83-E83</f>
        <v>11873.619999999995</v>
      </c>
      <c r="G83" s="77"/>
      <c r="H83" s="64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5"/>
      <c r="AG83" s="75"/>
    </row>
    <row r="84" spans="2:33">
      <c r="B84" s="276" t="s">
        <v>703</v>
      </c>
      <c r="C84" s="177"/>
      <c r="D84" s="440">
        <f>$AD$69-$AE$70</f>
        <v>834127.87</v>
      </c>
      <c r="E84" s="440">
        <f>'Regnskap 2015'!D74</f>
        <v>829977.98</v>
      </c>
      <c r="F84" s="441">
        <f>D84-E84</f>
        <v>4149.890000000014</v>
      </c>
      <c r="G84" s="77"/>
      <c r="H84" s="64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5"/>
      <c r="AG84" s="75"/>
    </row>
    <row r="85" spans="2:33">
      <c r="B85" s="276" t="s">
        <v>32</v>
      </c>
      <c r="C85" s="177" t="s">
        <v>707</v>
      </c>
      <c r="D85" s="440">
        <f>$AX$69-$AY$70</f>
        <v>776.15999999999985</v>
      </c>
      <c r="E85" s="440">
        <f>'Regnskap 2015'!D75</f>
        <v>1800</v>
      </c>
      <c r="F85" s="441">
        <f>D85-E85</f>
        <v>-1023.8400000000001</v>
      </c>
      <c r="G85" s="77"/>
      <c r="H85" s="64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5"/>
      <c r="AG85" s="75"/>
    </row>
    <row r="86" spans="2:33">
      <c r="B86" s="33" t="s">
        <v>60</v>
      </c>
      <c r="D86" s="442">
        <f>SUM(D83:D85)</f>
        <v>898447.75</v>
      </c>
      <c r="E86" s="443">
        <f>'Regnskap 2015'!D76</f>
        <v>883448.08</v>
      </c>
      <c r="F86" s="444">
        <f>D86-E86</f>
        <v>14999.670000000042</v>
      </c>
      <c r="H86" s="64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5"/>
      <c r="AG86" s="75"/>
    </row>
    <row r="87" spans="2:33">
      <c r="B87" s="35"/>
      <c r="D87" s="445"/>
      <c r="E87" s="445"/>
      <c r="F87" s="446"/>
      <c r="H87" s="64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5"/>
      <c r="AG87" s="75"/>
    </row>
    <row r="88" spans="2:33">
      <c r="B88" s="33" t="s">
        <v>61</v>
      </c>
      <c r="C88" s="177" t="s">
        <v>781</v>
      </c>
      <c r="D88" s="445"/>
      <c r="E88" s="445"/>
      <c r="F88" s="446"/>
      <c r="H88" s="64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5"/>
      <c r="AG88" s="75"/>
    </row>
    <row r="89" spans="2:33">
      <c r="B89" s="35" t="s">
        <v>63</v>
      </c>
      <c r="C89" s="177"/>
      <c r="D89" s="440">
        <f>$AJ$69-$AK$70</f>
        <v>950000</v>
      </c>
      <c r="E89" s="440">
        <v>950000</v>
      </c>
      <c r="F89" s="441">
        <f>D89-E89</f>
        <v>0</v>
      </c>
      <c r="G89" s="77"/>
      <c r="H89" s="64"/>
    </row>
    <row r="90" spans="2:33">
      <c r="B90" s="36" t="s">
        <v>64</v>
      </c>
      <c r="C90" s="177"/>
      <c r="D90" s="440">
        <f>$AL$69-$AM$70</f>
        <v>112480</v>
      </c>
      <c r="E90" s="440">
        <v>112480</v>
      </c>
      <c r="F90" s="441">
        <f>D90-E90</f>
        <v>0</v>
      </c>
      <c r="G90" s="77"/>
    </row>
    <row r="91" spans="2:33">
      <c r="B91" s="36" t="s">
        <v>339</v>
      </c>
      <c r="C91" s="177"/>
      <c r="D91" s="440">
        <f>$AN$69-$AO$70</f>
        <v>20000</v>
      </c>
      <c r="E91" s="440">
        <v>20000</v>
      </c>
      <c r="F91" s="441">
        <f>D91-E91</f>
        <v>0</v>
      </c>
      <c r="G91" s="77"/>
    </row>
    <row r="92" spans="2:33">
      <c r="B92" s="38" t="s">
        <v>66</v>
      </c>
      <c r="D92" s="442">
        <f>SUM(D89:D91)</f>
        <v>1082480</v>
      </c>
      <c r="E92" s="442">
        <v>1082480</v>
      </c>
      <c r="F92" s="444">
        <f>D92-E92</f>
        <v>0</v>
      </c>
    </row>
    <row r="93" spans="2:33">
      <c r="B93" s="35"/>
      <c r="D93" s="445"/>
      <c r="E93" s="445"/>
      <c r="F93" s="446"/>
    </row>
    <row r="94" spans="2:33">
      <c r="B94" s="35"/>
      <c r="D94" s="445"/>
      <c r="E94" s="445"/>
      <c r="F94" s="446"/>
    </row>
    <row r="95" spans="2:33" ht="13.5" thickBot="1">
      <c r="B95" s="38" t="s">
        <v>67</v>
      </c>
      <c r="D95" s="447">
        <f>D86+D92</f>
        <v>1980927.75</v>
      </c>
      <c r="E95" s="447">
        <f>'Regnskap 2015'!D85</f>
        <v>1965928.08</v>
      </c>
      <c r="F95" s="448">
        <f>D95-E95</f>
        <v>14999.669999999925</v>
      </c>
      <c r="AF95" s="75"/>
      <c r="AG95" s="75"/>
    </row>
    <row r="96" spans="2:33" ht="13.5" thickTop="1">
      <c r="B96" s="35"/>
      <c r="D96" s="445"/>
      <c r="E96" s="445"/>
      <c r="F96" s="446"/>
      <c r="AF96" s="75"/>
      <c r="AG96" s="75"/>
    </row>
    <row r="97" spans="2:33">
      <c r="B97" s="35"/>
      <c r="D97" s="445"/>
      <c r="E97" s="445"/>
      <c r="F97" s="446"/>
      <c r="AF97" s="75"/>
      <c r="AG97" s="75"/>
    </row>
    <row r="98" spans="2:33">
      <c r="B98" s="33" t="s">
        <v>68</v>
      </c>
      <c r="D98" s="445"/>
      <c r="E98" s="445"/>
      <c r="F98" s="446"/>
      <c r="AF98" s="75"/>
      <c r="AG98" s="75"/>
    </row>
    <row r="99" spans="2:33">
      <c r="B99" s="35" t="s">
        <v>69</v>
      </c>
      <c r="C99" s="177" t="s">
        <v>792</v>
      </c>
      <c r="D99" s="440">
        <f>-$AV$69+$AW$70</f>
        <v>108794.23</v>
      </c>
      <c r="E99" s="440">
        <v>0</v>
      </c>
      <c r="F99" s="441">
        <f>D99-E99</f>
        <v>108794.23</v>
      </c>
      <c r="G99" s="77"/>
      <c r="AF99" s="75"/>
      <c r="AG99" s="75"/>
    </row>
    <row r="100" spans="2:33">
      <c r="B100" s="33" t="s">
        <v>70</v>
      </c>
      <c r="D100" s="442">
        <f>SUM(D99:D99)</f>
        <v>108794.23</v>
      </c>
      <c r="E100" s="442">
        <v>0</v>
      </c>
      <c r="F100" s="444">
        <f>D100-E100</f>
        <v>108794.23</v>
      </c>
      <c r="H100" s="34"/>
    </row>
    <row r="101" spans="2:33">
      <c r="B101" s="35"/>
      <c r="D101" s="445"/>
      <c r="E101" s="445"/>
      <c r="F101" s="446"/>
      <c r="G101" s="152"/>
    </row>
    <row r="102" spans="2:33">
      <c r="B102" s="33" t="s">
        <v>71</v>
      </c>
      <c r="C102" s="177" t="s">
        <v>793</v>
      </c>
      <c r="D102" s="445"/>
      <c r="E102" s="445"/>
      <c r="F102" s="446"/>
    </row>
    <row r="103" spans="2:33">
      <c r="B103" s="35" t="s">
        <v>72</v>
      </c>
      <c r="C103" s="177"/>
      <c r="D103" s="440">
        <f>-$AP$69+$AQ$70</f>
        <v>1082480</v>
      </c>
      <c r="E103" s="440">
        <v>1082480</v>
      </c>
      <c r="F103" s="441">
        <f>D103-E103</f>
        <v>0</v>
      </c>
      <c r="G103" s="77"/>
      <c r="H103" s="77"/>
    </row>
    <row r="104" spans="2:33">
      <c r="B104" s="276" t="s">
        <v>687</v>
      </c>
      <c r="C104" s="177"/>
      <c r="D104" s="440">
        <f>AS73</f>
        <v>723568.20573900011</v>
      </c>
      <c r="E104" s="440">
        <v>722845.36036122043</v>
      </c>
      <c r="F104" s="441">
        <f>D104-E104</f>
        <v>722.84537777968217</v>
      </c>
      <c r="G104" s="77"/>
    </row>
    <row r="105" spans="2:33">
      <c r="B105" s="276" t="s">
        <v>692</v>
      </c>
      <c r="C105" s="177"/>
      <c r="D105" s="440">
        <f>AU73</f>
        <v>66085.314260999919</v>
      </c>
      <c r="E105" s="440">
        <v>160602.71963877956</v>
      </c>
      <c r="F105" s="441">
        <f>D105-E105</f>
        <v>-94517.405377779636</v>
      </c>
      <c r="G105" s="77"/>
    </row>
    <row r="106" spans="2:33">
      <c r="B106" s="38" t="s">
        <v>75</v>
      </c>
      <c r="D106" s="442">
        <f>SUM(D103:D105)</f>
        <v>1872133.52</v>
      </c>
      <c r="E106" s="442">
        <v>1965928.0799999998</v>
      </c>
      <c r="F106" s="444">
        <f>D106-E106</f>
        <v>-93794.559999999823</v>
      </c>
    </row>
    <row r="107" spans="2:33">
      <c r="B107" s="35"/>
      <c r="D107" s="445"/>
      <c r="E107" s="445"/>
      <c r="F107" s="446"/>
    </row>
    <row r="108" spans="2:33">
      <c r="B108" s="35"/>
      <c r="D108" s="445"/>
      <c r="E108" s="445"/>
      <c r="F108" s="446"/>
    </row>
    <row r="109" spans="2:33" ht="13.5" thickBot="1">
      <c r="B109" s="33" t="s">
        <v>77</v>
      </c>
      <c r="D109" s="447">
        <f>D100+D106</f>
        <v>1980927.75</v>
      </c>
      <c r="E109" s="447">
        <v>1965928.0799999998</v>
      </c>
      <c r="F109" s="448">
        <f>D109-E109</f>
        <v>14999.670000000158</v>
      </c>
    </row>
    <row r="110" spans="2:33" ht="13.5" thickTop="1">
      <c r="B110" s="35"/>
      <c r="D110" s="77"/>
      <c r="E110" s="77"/>
    </row>
    <row r="111" spans="2:33">
      <c r="D111" s="77"/>
      <c r="E111" s="77"/>
    </row>
    <row r="112" spans="2:33" ht="24.75">
      <c r="B112" s="552" t="s">
        <v>976</v>
      </c>
      <c r="C112" s="552"/>
      <c r="D112" s="552"/>
      <c r="E112" s="552"/>
      <c r="F112" s="552"/>
      <c r="G112" s="552"/>
      <c r="H112" s="552"/>
      <c r="I112" s="552"/>
    </row>
    <row r="113" spans="2:31" ht="13.5" thickBot="1">
      <c r="D113" s="77"/>
      <c r="E113" s="77"/>
      <c r="F113" s="35"/>
      <c r="G113" s="73"/>
    </row>
    <row r="114" spans="2:31" ht="20.25" thickBot="1">
      <c r="B114" s="148" t="s">
        <v>313</v>
      </c>
      <c r="C114" s="148"/>
      <c r="D114" s="383">
        <v>2016</v>
      </c>
      <c r="E114" s="383">
        <v>2015</v>
      </c>
      <c r="F114" s="383" t="s">
        <v>950</v>
      </c>
      <c r="G114" s="383" t="s">
        <v>314</v>
      </c>
      <c r="H114" s="340" t="s">
        <v>315</v>
      </c>
      <c r="I114" s="341" t="s">
        <v>977</v>
      </c>
      <c r="K114" s="418" t="s">
        <v>1049</v>
      </c>
      <c r="L114" s="417" t="s">
        <v>1048</v>
      </c>
      <c r="M114" s="418" t="s">
        <v>245</v>
      </c>
      <c r="N114" s="418" t="s">
        <v>1050</v>
      </c>
    </row>
    <row r="115" spans="2:31">
      <c r="B115" s="34" t="s">
        <v>153</v>
      </c>
      <c r="C115" s="177"/>
      <c r="D115" s="77"/>
      <c r="E115" s="77"/>
      <c r="F115" s="35"/>
      <c r="G115" s="35"/>
      <c r="I115" s="325"/>
      <c r="K115" s="437">
        <v>2014</v>
      </c>
      <c r="L115" s="434">
        <v>200</v>
      </c>
      <c r="M115" s="434">
        <f>F116/L115</f>
        <v>150</v>
      </c>
      <c r="N115" s="434">
        <f>D116/L115</f>
        <v>168.97499999999999</v>
      </c>
    </row>
    <row r="116" spans="2:31">
      <c r="B116" t="s">
        <v>154</v>
      </c>
      <c r="C116" s="177" t="s">
        <v>378</v>
      </c>
      <c r="D116" s="155">
        <f>-$AB$69+$AC$70</f>
        <v>33795</v>
      </c>
      <c r="E116" s="155">
        <v>24800</v>
      </c>
      <c r="F116" s="155">
        <v>30000</v>
      </c>
      <c r="G116" s="155">
        <f>D116-F116</f>
        <v>3795</v>
      </c>
      <c r="H116" s="151">
        <f>IF(F116=0,"---",G116/F116)</f>
        <v>0.1265</v>
      </c>
      <c r="I116" s="326">
        <v>37313</v>
      </c>
      <c r="K116" s="437">
        <v>2013</v>
      </c>
      <c r="L116" s="434">
        <v>200</v>
      </c>
      <c r="M116" s="434">
        <v>110</v>
      </c>
      <c r="N116" s="434">
        <f>E116/L116</f>
        <v>124</v>
      </c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</row>
    <row r="117" spans="2:31">
      <c r="B117" t="s">
        <v>618</v>
      </c>
      <c r="C117" s="177"/>
      <c r="D117" s="155">
        <f>-$AF$69+$AG$70</f>
        <v>4209.13</v>
      </c>
      <c r="E117" s="155">
        <v>9997.17</v>
      </c>
      <c r="F117" s="155">
        <v>9500</v>
      </c>
      <c r="G117" s="155">
        <f>D117-F117</f>
        <v>-5290.87</v>
      </c>
      <c r="H117" s="151">
        <f>IF(F117=0,"---",G117/F117)</f>
        <v>-0.55693368421052636</v>
      </c>
      <c r="I117" s="326">
        <v>6000</v>
      </c>
      <c r="J117" s="155"/>
      <c r="K117" s="437">
        <v>2015</v>
      </c>
      <c r="L117" s="434">
        <v>300</v>
      </c>
      <c r="M117" s="434">
        <v>120</v>
      </c>
      <c r="N117" s="434">
        <v>120</v>
      </c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</row>
    <row r="118" spans="2:31">
      <c r="B118" s="79" t="s">
        <v>355</v>
      </c>
      <c r="C118" s="177" t="s">
        <v>379</v>
      </c>
      <c r="D118" s="155">
        <f>-$AH$69+$AI$70</f>
        <v>9147.84</v>
      </c>
      <c r="E118" s="155">
        <v>21687</v>
      </c>
      <c r="F118" s="155">
        <v>1000</v>
      </c>
      <c r="G118" s="155">
        <f>D118-F118</f>
        <v>8147.84</v>
      </c>
      <c r="H118" s="151">
        <f>IF(F118=0,"---",G118/F118)</f>
        <v>8.1478400000000004</v>
      </c>
      <c r="I118" s="326">
        <v>10000</v>
      </c>
      <c r="J118" s="155"/>
      <c r="K118" s="439">
        <v>2016</v>
      </c>
      <c r="L118" s="438">
        <v>300</v>
      </c>
      <c r="M118" s="438">
        <v>100</v>
      </c>
      <c r="N118" s="438">
        <v>113</v>
      </c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</row>
    <row r="119" spans="2:31" ht="15" customHeight="1" thickBot="1">
      <c r="B119" s="154" t="s">
        <v>158</v>
      </c>
      <c r="C119" s="306"/>
      <c r="D119" s="156">
        <f>SUM(D116:D118)</f>
        <v>47151.97</v>
      </c>
      <c r="E119" s="156">
        <v>56484.17</v>
      </c>
      <c r="F119" s="156">
        <f>SUM(F116:F118)</f>
        <v>40500</v>
      </c>
      <c r="G119" s="156">
        <f>SUM(G116:G118)</f>
        <v>6651.97</v>
      </c>
      <c r="H119" s="153">
        <f>IF(F119=0,"---",G119/F119)</f>
        <v>0.16424617283950618</v>
      </c>
      <c r="I119" s="327">
        <f>SUM(I116:I118)</f>
        <v>53313</v>
      </c>
      <c r="J119" s="160"/>
      <c r="K119" s="439">
        <v>2017</v>
      </c>
      <c r="L119" s="438">
        <v>300</v>
      </c>
      <c r="M119" s="438">
        <v>125</v>
      </c>
      <c r="N119" s="438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</row>
    <row r="120" spans="2:31" ht="12.95" customHeight="1" thickTop="1">
      <c r="C120" s="177"/>
      <c r="D120" s="77"/>
      <c r="E120" s="77"/>
      <c r="F120" s="77"/>
      <c r="G120" s="77"/>
      <c r="I120" s="328"/>
      <c r="J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</row>
    <row r="121" spans="2:31">
      <c r="B121" s="34" t="s">
        <v>924</v>
      </c>
      <c r="C121" s="177"/>
      <c r="D121" s="77"/>
      <c r="E121" s="77"/>
      <c r="F121" s="77"/>
      <c r="G121" s="77"/>
      <c r="I121" s="328"/>
      <c r="J121" s="77"/>
      <c r="K121" s="77"/>
      <c r="L121" s="77"/>
      <c r="M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</row>
    <row r="122" spans="2:31">
      <c r="B122" t="s">
        <v>485</v>
      </c>
      <c r="C122" s="177" t="s">
        <v>380</v>
      </c>
      <c r="D122" s="155">
        <f>$F$69-$G$70</f>
        <v>5000</v>
      </c>
      <c r="E122" s="155">
        <v>5000</v>
      </c>
      <c r="F122" s="155">
        <v>10000</v>
      </c>
      <c r="G122" s="155">
        <f>D122-F122</f>
        <v>-5000</v>
      </c>
      <c r="H122" s="151">
        <f t="shared" ref="H122:H133" si="2">IF(F122=0,"---",G122/F122)</f>
        <v>-0.5</v>
      </c>
      <c r="I122" s="326">
        <v>5000</v>
      </c>
      <c r="J122" s="155"/>
      <c r="K122" s="155"/>
      <c r="L122" s="155"/>
      <c r="M122" s="155"/>
      <c r="N122" s="77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</row>
    <row r="123" spans="2:31">
      <c r="B123" t="s">
        <v>488</v>
      </c>
      <c r="C123" s="177" t="s">
        <v>428</v>
      </c>
      <c r="D123" s="155">
        <f>$H$69-$I$70</f>
        <v>8796.0500000000011</v>
      </c>
      <c r="E123" s="155">
        <v>5692.5</v>
      </c>
      <c r="F123" s="155">
        <v>5000</v>
      </c>
      <c r="G123" s="155">
        <f t="shared" ref="G123:G131" si="3">D123-F123</f>
        <v>3796.0500000000011</v>
      </c>
      <c r="H123" s="151">
        <f t="shared" si="2"/>
        <v>0.75921000000000027</v>
      </c>
      <c r="I123" s="326">
        <v>16000</v>
      </c>
      <c r="J123" s="155"/>
      <c r="K123" s="155"/>
      <c r="L123" s="155"/>
      <c r="M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</row>
    <row r="124" spans="2:31">
      <c r="B124" t="s">
        <v>163</v>
      </c>
      <c r="C124" s="177" t="s">
        <v>430</v>
      </c>
      <c r="D124" s="155">
        <f>$J$69-$K$70</f>
        <v>7831.98</v>
      </c>
      <c r="E124" s="155">
        <v>2727.4</v>
      </c>
      <c r="F124" s="155">
        <v>10000</v>
      </c>
      <c r="G124" s="155">
        <f t="shared" si="3"/>
        <v>-2168.0200000000004</v>
      </c>
      <c r="H124" s="151">
        <f t="shared" si="2"/>
        <v>-0.21680200000000005</v>
      </c>
      <c r="I124" s="326">
        <v>10000</v>
      </c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</row>
    <row r="125" spans="2:31">
      <c r="B125" s="277" t="s">
        <v>637</v>
      </c>
      <c r="C125" s="177" t="s">
        <v>486</v>
      </c>
      <c r="D125" s="155">
        <f>$Z$69-$AA$70</f>
        <v>5000</v>
      </c>
      <c r="E125" s="155">
        <v>14083</v>
      </c>
      <c r="F125" s="155">
        <v>8000</v>
      </c>
      <c r="G125" s="155">
        <f>D125-F125</f>
        <v>-3000</v>
      </c>
      <c r="H125" s="151">
        <f>IF(F125=0,"---",G125/F125)</f>
        <v>-0.375</v>
      </c>
      <c r="I125" s="326">
        <v>15000</v>
      </c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</row>
    <row r="126" spans="2:31">
      <c r="B126" s="277" t="s">
        <v>684</v>
      </c>
      <c r="C126" s="177" t="s">
        <v>501</v>
      </c>
      <c r="D126" s="155">
        <f>$X$69-$Y$70</f>
        <v>105000</v>
      </c>
      <c r="E126" s="155">
        <v>0</v>
      </c>
      <c r="F126" s="155">
        <v>110000</v>
      </c>
      <c r="G126" s="155">
        <f>D126-F126</f>
        <v>-5000</v>
      </c>
      <c r="H126" s="151">
        <f>IF(F126=0,"---",G126/F126)</f>
        <v>-4.5454545454545456E-2</v>
      </c>
      <c r="I126" s="326">
        <v>10000</v>
      </c>
      <c r="J126" s="155"/>
      <c r="K126" s="551" t="s">
        <v>1032</v>
      </c>
      <c r="L126" s="551"/>
      <c r="M126" s="551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</row>
    <row r="127" spans="2:31">
      <c r="B127" t="s">
        <v>166</v>
      </c>
      <c r="C127" s="177" t="s">
        <v>502</v>
      </c>
      <c r="D127" s="155">
        <f>$P$69-$Q$70</f>
        <v>5229.5</v>
      </c>
      <c r="E127" s="155">
        <v>6965.58</v>
      </c>
      <c r="F127" s="155">
        <v>3500</v>
      </c>
      <c r="G127" s="155">
        <f t="shared" si="3"/>
        <v>1729.5</v>
      </c>
      <c r="H127" s="151">
        <f t="shared" si="2"/>
        <v>0.49414285714285716</v>
      </c>
      <c r="I127" s="326">
        <v>4000</v>
      </c>
      <c r="J127" s="155"/>
      <c r="K127" s="434" t="s">
        <v>1046</v>
      </c>
      <c r="L127" s="155">
        <f>M119*8</f>
        <v>1000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</row>
    <row r="128" spans="2:31">
      <c r="B128" t="s">
        <v>170</v>
      </c>
      <c r="C128" s="177"/>
      <c r="D128" s="155">
        <f>$T$69-$U$70</f>
        <v>265</v>
      </c>
      <c r="E128" s="155">
        <v>265</v>
      </c>
      <c r="F128" s="155">
        <v>600</v>
      </c>
      <c r="G128" s="155">
        <f t="shared" si="3"/>
        <v>-335</v>
      </c>
      <c r="H128" s="151">
        <f t="shared" si="2"/>
        <v>-0.55833333333333335</v>
      </c>
      <c r="I128" s="326">
        <v>300</v>
      </c>
      <c r="J128" s="155"/>
      <c r="K128" s="435" t="s">
        <v>1047</v>
      </c>
      <c r="L128" s="282">
        <v>500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</row>
    <row r="129" spans="2:31" ht="13.5" thickBot="1">
      <c r="B129" s="277" t="s">
        <v>694</v>
      </c>
      <c r="C129" s="177"/>
      <c r="D129" s="155">
        <f>$L$69-$M$70</f>
        <v>1324</v>
      </c>
      <c r="E129" s="155">
        <v>1220</v>
      </c>
      <c r="F129" s="155">
        <v>1500</v>
      </c>
      <c r="G129" s="155">
        <f>D129-F129</f>
        <v>-176</v>
      </c>
      <c r="H129" s="151">
        <f>IF(F129=0,"---",G129/F129)</f>
        <v>-0.11733333333333333</v>
      </c>
      <c r="I129" s="326">
        <f>SUM(L129)</f>
        <v>1500</v>
      </c>
      <c r="J129" s="155"/>
      <c r="K129" s="436" t="s">
        <v>699</v>
      </c>
      <c r="L129" s="156">
        <f>L127+L128</f>
        <v>1500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</row>
    <row r="130" spans="2:31" ht="13.5" thickTop="1">
      <c r="B130" t="s">
        <v>95</v>
      </c>
      <c r="C130" s="177"/>
      <c r="D130" s="155">
        <f>$N$69-$O$70</f>
        <v>0</v>
      </c>
      <c r="E130" s="155">
        <v>0</v>
      </c>
      <c r="F130" s="155">
        <v>0</v>
      </c>
      <c r="G130" s="155">
        <f>D130-F130</f>
        <v>0</v>
      </c>
      <c r="H130" s="151" t="str">
        <f>IF(F130=0,"---",G130/F130)</f>
        <v>---</v>
      </c>
      <c r="I130" s="326">
        <v>0</v>
      </c>
      <c r="J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</row>
    <row r="131" spans="2:31">
      <c r="B131" t="s">
        <v>169</v>
      </c>
      <c r="C131" s="177"/>
      <c r="D131" s="155">
        <f>$R$69-$S$70</f>
        <v>2500</v>
      </c>
      <c r="E131" s="155">
        <v>2500</v>
      </c>
      <c r="F131" s="155">
        <v>2500</v>
      </c>
      <c r="G131" s="155">
        <f t="shared" si="3"/>
        <v>0</v>
      </c>
      <c r="H131" s="151">
        <f t="shared" si="2"/>
        <v>0</v>
      </c>
      <c r="I131" s="326">
        <v>2500</v>
      </c>
      <c r="J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</row>
    <row r="132" spans="2:31">
      <c r="B132" t="s">
        <v>427</v>
      </c>
      <c r="C132" s="177" t="s">
        <v>506</v>
      </c>
      <c r="D132" s="155">
        <f>$V$69-$W$70</f>
        <v>0</v>
      </c>
      <c r="E132" s="155">
        <v>0</v>
      </c>
      <c r="F132" s="155">
        <v>0</v>
      </c>
      <c r="G132" s="155">
        <f>D132-F132</f>
        <v>0</v>
      </c>
      <c r="H132" s="151" t="str">
        <f t="shared" si="2"/>
        <v>---</v>
      </c>
      <c r="I132" s="326">
        <v>0</v>
      </c>
      <c r="J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</row>
    <row r="133" spans="2:31" ht="16.5" thickBot="1">
      <c r="B133" s="154" t="s">
        <v>931</v>
      </c>
      <c r="C133" s="306"/>
      <c r="D133" s="156">
        <f>SUM(D122:D132)</f>
        <v>140946.53</v>
      </c>
      <c r="E133" s="156">
        <v>38557.480000000003</v>
      </c>
      <c r="F133" s="156">
        <f>SUM(F122:F132)</f>
        <v>151100</v>
      </c>
      <c r="G133" s="156">
        <f>SUM(G122:G132)</f>
        <v>-10153.469999999999</v>
      </c>
      <c r="H133" s="153">
        <f t="shared" si="2"/>
        <v>-6.7197021839841165E-2</v>
      </c>
      <c r="I133" s="327">
        <f>SUM(I122:I132)</f>
        <v>64300</v>
      </c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</row>
    <row r="134" spans="2:31" ht="13.5" thickTop="1">
      <c r="C134" s="177"/>
      <c r="D134" s="77"/>
      <c r="E134" s="77"/>
      <c r="F134" s="77"/>
      <c r="G134" s="77"/>
      <c r="H134" s="77"/>
      <c r="I134" s="328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</row>
    <row r="135" spans="2:31" ht="16.5" thickBot="1">
      <c r="B135" s="154" t="s">
        <v>141</v>
      </c>
      <c r="C135" s="306"/>
      <c r="D135" s="156">
        <f>D119-D133</f>
        <v>-93794.559999999998</v>
      </c>
      <c r="E135" s="156">
        <v>17926.689999999995</v>
      </c>
      <c r="F135" s="156">
        <f>F119-F133</f>
        <v>-110600</v>
      </c>
      <c r="G135" s="156">
        <f>G119-G133</f>
        <v>16805.439999999999</v>
      </c>
      <c r="H135" s="153">
        <f>IF(F135=0,"---",G135/F135)</f>
        <v>-0.15194792043399638</v>
      </c>
      <c r="I135" s="327">
        <f>I119-I133</f>
        <v>-10987</v>
      </c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</row>
    <row r="136" spans="2:31" ht="13.5" thickTop="1">
      <c r="C136" s="177"/>
      <c r="D136" s="77"/>
      <c r="E136" s="93"/>
      <c r="F136" s="77"/>
      <c r="G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</row>
    <row r="137" spans="2:31">
      <c r="B137" s="34" t="s">
        <v>172</v>
      </c>
      <c r="C137" s="177" t="s">
        <v>644</v>
      </c>
      <c r="D137" s="77"/>
      <c r="E137" s="93"/>
      <c r="F137" s="77"/>
      <c r="G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</row>
    <row r="138" spans="2:31">
      <c r="B138" t="s">
        <v>691</v>
      </c>
      <c r="C138" s="177"/>
      <c r="D138" s="155">
        <f>J177</f>
        <v>722.84537777964306</v>
      </c>
      <c r="E138" s="324">
        <v>1729.4451840827362</v>
      </c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</row>
    <row r="139" spans="2:31">
      <c r="B139" t="s">
        <v>693</v>
      </c>
      <c r="C139" s="177"/>
      <c r="D139" s="155">
        <f>D135-D138</f>
        <v>-94517.405377779636</v>
      </c>
      <c r="E139" s="324">
        <v>16197.244815917258</v>
      </c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</row>
    <row r="140" spans="2:31" ht="16.5" thickBot="1">
      <c r="B140" s="154" t="s">
        <v>175</v>
      </c>
      <c r="C140" s="306"/>
      <c r="D140" s="156">
        <f>SUM(D138:D139)</f>
        <v>-93794.559999999998</v>
      </c>
      <c r="E140" s="156">
        <v>17926.689999999995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</row>
    <row r="141" spans="2:31" ht="13.5" thickTop="1"/>
    <row r="142" spans="2:31" ht="13.5" thickBot="1">
      <c r="F142" s="113"/>
    </row>
    <row r="143" spans="2:31" ht="15">
      <c r="B143" s="449" t="s">
        <v>821</v>
      </c>
      <c r="C143" s="298"/>
      <c r="D143" s="299">
        <f>ROUND(D95-D109,0)</f>
        <v>0</v>
      </c>
      <c r="E143" s="304" t="str">
        <f>IF(D143=0,"OK","Feil")</f>
        <v>OK</v>
      </c>
      <c r="F143" s="113"/>
    </row>
    <row r="144" spans="2:31" ht="15.75" thickBot="1">
      <c r="B144" s="450" t="s">
        <v>822</v>
      </c>
      <c r="C144" s="28"/>
      <c r="D144" s="301">
        <f>ROUND(D106-E106-D140,0)</f>
        <v>0</v>
      </c>
      <c r="E144" s="305" t="str">
        <f>IF(D144=0,"OK","Feil")</f>
        <v>OK</v>
      </c>
      <c r="F144" s="113"/>
    </row>
    <row r="145" spans="2:10">
      <c r="F145" s="77"/>
    </row>
    <row r="146" spans="2:10">
      <c r="F146" s="77"/>
    </row>
    <row r="147" spans="2:10">
      <c r="F147" s="77"/>
    </row>
    <row r="148" spans="2:10" ht="24.75">
      <c r="B148" s="552" t="s">
        <v>1082</v>
      </c>
      <c r="C148" s="552"/>
      <c r="D148" s="552"/>
      <c r="E148" s="552"/>
      <c r="F148" s="552"/>
      <c r="G148" s="552"/>
      <c r="H148" s="552"/>
      <c r="I148" s="552"/>
      <c r="J148" s="552"/>
    </row>
    <row r="149" spans="2:10">
      <c r="B149" s="34"/>
      <c r="D149" s="77"/>
      <c r="F149" s="77"/>
    </row>
    <row r="150" spans="2:10" ht="14.25">
      <c r="B150" s="425" t="s">
        <v>1008</v>
      </c>
      <c r="C150" s="277" t="s">
        <v>799</v>
      </c>
      <c r="D150" s="77"/>
      <c r="F150" s="425" t="s">
        <v>809</v>
      </c>
      <c r="H150" s="77"/>
      <c r="I150" s="77"/>
    </row>
    <row r="151" spans="2:10">
      <c r="B151" s="277" t="s">
        <v>952</v>
      </c>
      <c r="C151">
        <v>100</v>
      </c>
      <c r="D151" s="93">
        <f>C151*300</f>
        <v>30000</v>
      </c>
      <c r="F151" s="553" t="s">
        <v>1028</v>
      </c>
      <c r="G151" s="553"/>
      <c r="J151" s="77">
        <v>968.5</v>
      </c>
    </row>
    <row r="152" spans="2:10">
      <c r="B152" s="429" t="s">
        <v>953</v>
      </c>
      <c r="C152" s="430">
        <v>99</v>
      </c>
      <c r="D152" s="431">
        <f>C152*300</f>
        <v>29700</v>
      </c>
      <c r="F152" s="554" t="s">
        <v>927</v>
      </c>
      <c r="G152" s="554"/>
      <c r="J152" s="77">
        <v>1743</v>
      </c>
    </row>
    <row r="153" spans="2:10">
      <c r="B153" s="432" t="s">
        <v>1009</v>
      </c>
      <c r="C153" s="30">
        <v>14</v>
      </c>
      <c r="D153" s="433">
        <f>C153*292.5</f>
        <v>4095</v>
      </c>
      <c r="F153" s="571" t="s">
        <v>1029</v>
      </c>
      <c r="G153" s="571"/>
      <c r="J153" s="77">
        <v>1500</v>
      </c>
    </row>
    <row r="154" spans="2:10">
      <c r="B154" s="401" t="s">
        <v>197</v>
      </c>
      <c r="C154" s="31">
        <f>SUM(C152:C153)</f>
        <v>113</v>
      </c>
      <c r="D154" s="402">
        <f>SUM(D152:D153)</f>
        <v>33795</v>
      </c>
      <c r="F154" s="571" t="s">
        <v>1030</v>
      </c>
      <c r="G154" s="571"/>
      <c r="J154" s="77">
        <v>305</v>
      </c>
    </row>
    <row r="155" spans="2:10">
      <c r="B155" s="277"/>
      <c r="D155" s="93"/>
      <c r="F155" s="554" t="s">
        <v>879</v>
      </c>
      <c r="G155" s="554"/>
      <c r="J155" s="77">
        <v>0</v>
      </c>
    </row>
    <row r="156" spans="2:10">
      <c r="B156" s="344" t="s">
        <v>1005</v>
      </c>
      <c r="C156" s="345"/>
      <c r="D156" s="346"/>
      <c r="F156" s="555" t="s">
        <v>970</v>
      </c>
      <c r="G156" s="555"/>
      <c r="J156" s="77">
        <v>0</v>
      </c>
    </row>
    <row r="157" spans="2:10" ht="13.5" thickBot="1">
      <c r="B157" s="397" t="s">
        <v>1007</v>
      </c>
      <c r="C157" s="398">
        <v>100</v>
      </c>
      <c r="D157" s="399">
        <f>C157*300</f>
        <v>30000</v>
      </c>
      <c r="F157" s="381" t="s">
        <v>197</v>
      </c>
      <c r="G157" s="200"/>
      <c r="H157" s="200"/>
      <c r="I157" s="200"/>
      <c r="J157" s="175">
        <f>SUM(J151:J156)</f>
        <v>4516.5</v>
      </c>
    </row>
    <row r="158" spans="2:10" ht="13.5" thickTop="1">
      <c r="B158" s="397" t="s">
        <v>1011</v>
      </c>
      <c r="C158" s="398">
        <v>25</v>
      </c>
      <c r="D158" s="399">
        <f>C158*292.5</f>
        <v>7312.5</v>
      </c>
      <c r="J158" s="77"/>
    </row>
    <row r="159" spans="2:10" ht="13.5" thickBot="1">
      <c r="B159" s="423" t="s">
        <v>197</v>
      </c>
      <c r="C159" s="423"/>
      <c r="D159" s="424">
        <f>SUM(D157:D158)</f>
        <v>37312.5</v>
      </c>
      <c r="F159" s="556" t="s">
        <v>1005</v>
      </c>
      <c r="G159" s="556"/>
      <c r="H159" s="347"/>
      <c r="I159" s="347"/>
      <c r="J159" s="346"/>
    </row>
    <row r="160" spans="2:10" ht="13.5" thickTop="1">
      <c r="D160" s="77"/>
      <c r="F160" s="558" t="s">
        <v>810</v>
      </c>
      <c r="G160" s="558"/>
      <c r="H160" s="347"/>
      <c r="I160" s="347"/>
      <c r="J160" s="346">
        <v>4000</v>
      </c>
    </row>
    <row r="161" spans="2:10" ht="15" thickBot="1">
      <c r="B161" s="425" t="s">
        <v>796</v>
      </c>
      <c r="D161" s="77"/>
      <c r="F161" s="549" t="s">
        <v>197</v>
      </c>
      <c r="G161" s="549"/>
      <c r="H161" s="423"/>
      <c r="I161" s="423"/>
      <c r="J161" s="424">
        <f>SUM(J160)</f>
        <v>4000</v>
      </c>
    </row>
    <row r="162" spans="2:10" ht="13.5" thickTop="1">
      <c r="B162" s="413" t="s">
        <v>782</v>
      </c>
      <c r="D162" s="77">
        <v>2603</v>
      </c>
      <c r="H162" s="77"/>
    </row>
    <row r="163" spans="2:10">
      <c r="B163" s="265" t="s">
        <v>1012</v>
      </c>
      <c r="D163" s="77">
        <v>7320</v>
      </c>
      <c r="H163" s="77"/>
    </row>
    <row r="164" spans="2:10" ht="15" thickBot="1">
      <c r="B164" s="199" t="s">
        <v>197</v>
      </c>
      <c r="C164" s="199"/>
      <c r="D164" s="175">
        <f>SUM(D162:D163)</f>
        <v>9923</v>
      </c>
      <c r="F164" s="425" t="s">
        <v>811</v>
      </c>
    </row>
    <row r="165" spans="2:10" ht="14.1" customHeight="1" thickTop="1">
      <c r="D165" s="77"/>
      <c r="F165" s="544" t="s">
        <v>1045</v>
      </c>
      <c r="G165" s="544"/>
      <c r="H165" s="544"/>
      <c r="I165" s="544"/>
    </row>
    <row r="166" spans="2:10">
      <c r="B166" s="344" t="s">
        <v>1005</v>
      </c>
      <c r="C166" s="345"/>
      <c r="D166" s="346"/>
      <c r="F166" s="544"/>
      <c r="G166" s="544"/>
      <c r="H166" s="544"/>
      <c r="I166" s="544"/>
    </row>
    <row r="167" spans="2:10" ht="13.5" thickBot="1">
      <c r="B167" s="397" t="s">
        <v>1022</v>
      </c>
      <c r="C167" s="398"/>
      <c r="D167" s="399">
        <v>2500</v>
      </c>
      <c r="F167" s="545" t="s">
        <v>197</v>
      </c>
      <c r="G167" s="545"/>
      <c r="H167" s="270"/>
      <c r="I167" s="270"/>
      <c r="J167" s="427">
        <v>0</v>
      </c>
    </row>
    <row r="168" spans="2:10" ht="13.5" thickTop="1">
      <c r="B168" s="397" t="s">
        <v>1021</v>
      </c>
      <c r="C168" s="398"/>
      <c r="D168" s="399">
        <v>7500</v>
      </c>
    </row>
    <row r="169" spans="2:10" ht="13.5" thickBot="1">
      <c r="B169" s="426" t="s">
        <v>197</v>
      </c>
      <c r="C169" s="423"/>
      <c r="D169" s="424">
        <f>SUM(D167:D168)</f>
        <v>10000</v>
      </c>
    </row>
    <row r="170" spans="2:10" ht="15" thickTop="1">
      <c r="B170" s="277"/>
      <c r="C170" s="34"/>
      <c r="D170" s="294"/>
      <c r="F170" s="425" t="s">
        <v>812</v>
      </c>
    </row>
    <row r="171" spans="2:10" ht="14.25">
      <c r="B171" s="425" t="s">
        <v>797</v>
      </c>
      <c r="D171" s="77"/>
      <c r="F171" s="277" t="s">
        <v>830</v>
      </c>
      <c r="J171" s="311">
        <f>D135</f>
        <v>-93794.559999999998</v>
      </c>
    </row>
    <row r="172" spans="2:10">
      <c r="B172" s="277" t="s">
        <v>674</v>
      </c>
      <c r="D172" s="288">
        <v>5000</v>
      </c>
      <c r="F172" s="279"/>
    </row>
    <row r="173" spans="2:10">
      <c r="B173" s="265" t="s">
        <v>1013</v>
      </c>
      <c r="D173" s="288">
        <v>0</v>
      </c>
      <c r="F173" t="s">
        <v>893</v>
      </c>
      <c r="J173" s="309">
        <v>829977.98</v>
      </c>
    </row>
    <row r="174" spans="2:10" ht="13.5" thickBot="1">
      <c r="B174" s="199" t="s">
        <v>197</v>
      </c>
      <c r="C174" s="266"/>
      <c r="D174" s="175">
        <f>SUM(D172)</f>
        <v>5000</v>
      </c>
      <c r="F174" t="s">
        <v>704</v>
      </c>
      <c r="I174" s="316">
        <f>IFERROR(J174/J173,0)</f>
        <v>0.87092113017410466</v>
      </c>
      <c r="J174" s="311">
        <f>AS9</f>
        <v>722845.36036122043</v>
      </c>
    </row>
    <row r="175" spans="2:10" ht="13.5" thickTop="1">
      <c r="D175" s="77"/>
      <c r="F175" s="413" t="s">
        <v>841</v>
      </c>
      <c r="I175" s="37"/>
      <c r="J175" s="420">
        <v>4149.8900000000003</v>
      </c>
    </row>
    <row r="176" spans="2:10">
      <c r="B176" s="344" t="s">
        <v>1005</v>
      </c>
      <c r="C176" s="347"/>
      <c r="D176" s="346"/>
      <c r="F176" s="421" t="s">
        <v>829</v>
      </c>
      <c r="G176" s="31"/>
      <c r="H176" s="31"/>
      <c r="I176" s="31"/>
      <c r="J176" s="422">
        <f>IFERROR(J175*I174,0)</f>
        <v>3614.2268888982153</v>
      </c>
    </row>
    <row r="177" spans="2:10" ht="13.5" thickBot="1">
      <c r="B177" s="348" t="s">
        <v>674</v>
      </c>
      <c r="C177" s="347"/>
      <c r="D177" s="346">
        <v>5000</v>
      </c>
      <c r="F177" s="199" t="s">
        <v>1044</v>
      </c>
      <c r="G177" s="266"/>
      <c r="H177" s="266"/>
      <c r="I177" s="199"/>
      <c r="J177" s="313">
        <f>IFERROR(J176*0.2,0)</f>
        <v>722.84537777964306</v>
      </c>
    </row>
    <row r="178" spans="2:10" ht="13.5" thickTop="1">
      <c r="B178" s="415" t="s">
        <v>1013</v>
      </c>
      <c r="C178" s="350"/>
      <c r="D178" s="351">
        <v>0</v>
      </c>
      <c r="F178" s="33"/>
      <c r="I178" s="33"/>
      <c r="J178" s="65"/>
    </row>
    <row r="179" spans="2:10" ht="13.5" thickBot="1">
      <c r="B179" s="426" t="s">
        <v>197</v>
      </c>
      <c r="C179" s="423"/>
      <c r="D179" s="424">
        <f>SUM(D177:D178)</f>
        <v>5000</v>
      </c>
      <c r="F179" s="68" t="s">
        <v>832</v>
      </c>
      <c r="G179" s="31"/>
      <c r="H179" s="31"/>
      <c r="I179" s="68"/>
      <c r="J179" s="419">
        <f>IFERROR(J171-J177,"")</f>
        <v>-94517.405377779636</v>
      </c>
    </row>
    <row r="180" spans="2:10" ht="13.5" thickTop="1">
      <c r="B180" s="277"/>
      <c r="C180" s="34"/>
      <c r="D180" s="294"/>
    </row>
    <row r="181" spans="2:10" ht="14.25">
      <c r="B181" s="425" t="s">
        <v>800</v>
      </c>
      <c r="C181" s="82"/>
      <c r="D181" s="201"/>
      <c r="E181" s="65"/>
    </row>
    <row r="182" spans="2:10" ht="14.25">
      <c r="B182" s="265" t="s">
        <v>628</v>
      </c>
      <c r="C182" s="82"/>
      <c r="D182" s="64">
        <v>0</v>
      </c>
      <c r="E182" s="64"/>
      <c r="F182" s="425" t="s">
        <v>813</v>
      </c>
      <c r="H182" s="77"/>
    </row>
    <row r="183" spans="2:10">
      <c r="B183" s="265" t="s">
        <v>1014</v>
      </c>
      <c r="C183" s="82"/>
      <c r="D183" s="64">
        <v>1134.3900000000001</v>
      </c>
      <c r="E183" s="64"/>
      <c r="F183" s="277"/>
      <c r="J183" s="77"/>
    </row>
    <row r="184" spans="2:10">
      <c r="B184" s="265" t="s">
        <v>1015</v>
      </c>
      <c r="C184" s="82"/>
      <c r="D184" s="64">
        <v>5170.82</v>
      </c>
      <c r="E184" s="64"/>
      <c r="F184" s="265" t="s">
        <v>1034</v>
      </c>
      <c r="J184" s="77">
        <v>775.16</v>
      </c>
    </row>
    <row r="185" spans="2:10" ht="13.5" thickBot="1">
      <c r="B185" s="265" t="s">
        <v>1016</v>
      </c>
      <c r="C185" s="82"/>
      <c r="D185" s="64">
        <v>3270</v>
      </c>
      <c r="E185" s="64"/>
      <c r="F185" s="199" t="s">
        <v>197</v>
      </c>
      <c r="G185" s="200"/>
      <c r="H185" s="266"/>
      <c r="I185" s="266"/>
      <c r="J185" s="175">
        <f>SUM(J183:J184)</f>
        <v>775.16</v>
      </c>
    </row>
    <row r="186" spans="2:10" ht="14.25" thickTop="1" thickBot="1">
      <c r="B186" s="199" t="s">
        <v>197</v>
      </c>
      <c r="C186" s="200"/>
      <c r="D186" s="175">
        <f>SUM(D182:D185)</f>
        <v>9575.2099999999991</v>
      </c>
      <c r="E186" s="64"/>
    </row>
    <row r="187" spans="2:10" ht="15" thickTop="1">
      <c r="B187" s="34"/>
      <c r="C187" s="34"/>
      <c r="D187" s="77"/>
      <c r="E187" s="64"/>
      <c r="F187" s="425" t="s">
        <v>816</v>
      </c>
    </row>
    <row r="188" spans="2:10">
      <c r="B188" s="344" t="s">
        <v>1005</v>
      </c>
      <c r="C188" s="352"/>
      <c r="D188" s="346"/>
      <c r="E188" s="64"/>
      <c r="F188" s="79" t="s">
        <v>574</v>
      </c>
      <c r="J188" s="77">
        <v>950000</v>
      </c>
    </row>
    <row r="189" spans="2:10">
      <c r="B189" s="396" t="s">
        <v>628</v>
      </c>
      <c r="C189" s="352"/>
      <c r="D189" s="346">
        <v>6000</v>
      </c>
      <c r="E189" s="64"/>
      <c r="F189" s="79" t="s">
        <v>575</v>
      </c>
    </row>
    <row r="190" spans="2:10">
      <c r="B190" s="415" t="s">
        <v>1017</v>
      </c>
      <c r="C190" s="354"/>
      <c r="D190" s="351">
        <v>10000</v>
      </c>
      <c r="F190" s="79" t="s">
        <v>576</v>
      </c>
    </row>
    <row r="191" spans="2:10" ht="13.5" thickBot="1">
      <c r="B191" s="426" t="s">
        <v>197</v>
      </c>
      <c r="C191" s="423"/>
      <c r="D191" s="424">
        <f>SUM(D189:D190)</f>
        <v>16000</v>
      </c>
      <c r="F191" s="79" t="s">
        <v>577</v>
      </c>
    </row>
    <row r="192" spans="2:10" ht="13.5" thickTop="1">
      <c r="B192" s="34"/>
      <c r="C192" s="34"/>
      <c r="D192" s="294"/>
    </row>
    <row r="193" spans="2:31" ht="14.25">
      <c r="B193" s="425" t="s">
        <v>803</v>
      </c>
      <c r="D193" s="77"/>
      <c r="F193" s="79" t="s">
        <v>586</v>
      </c>
      <c r="J193" s="77">
        <v>112480</v>
      </c>
    </row>
    <row r="194" spans="2:31">
      <c r="B194" s="265" t="s">
        <v>1018</v>
      </c>
      <c r="D194" s="77">
        <v>5228.58</v>
      </c>
      <c r="F194" s="79" t="s">
        <v>587</v>
      </c>
      <c r="G194" s="254"/>
      <c r="J194" s="254"/>
    </row>
    <row r="195" spans="2:31">
      <c r="B195" s="414" t="s">
        <v>990</v>
      </c>
      <c r="C195" s="82"/>
      <c r="D195" s="64">
        <v>2556</v>
      </c>
      <c r="F195" s="79" t="s">
        <v>578</v>
      </c>
    </row>
    <row r="196" spans="2:31" ht="13.5" thickBot="1">
      <c r="B196" s="199" t="s">
        <v>197</v>
      </c>
      <c r="C196" s="200"/>
      <c r="D196" s="175">
        <f>SUM(D194:D195)</f>
        <v>7784.58</v>
      </c>
    </row>
    <row r="197" spans="2:31" ht="13.5" thickTop="1">
      <c r="B197" s="265"/>
      <c r="D197" s="77"/>
      <c r="F197" s="79" t="s">
        <v>585</v>
      </c>
      <c r="J197" s="77">
        <f>5000+15000</f>
        <v>20000</v>
      </c>
    </row>
    <row r="198" spans="2:31">
      <c r="B198" s="344" t="s">
        <v>1005</v>
      </c>
      <c r="C198" s="347"/>
      <c r="D198" s="346"/>
      <c r="F198" s="79" t="s">
        <v>579</v>
      </c>
    </row>
    <row r="199" spans="2:31">
      <c r="B199" s="396" t="s">
        <v>1031</v>
      </c>
      <c r="C199" s="347"/>
      <c r="D199" s="346">
        <v>10000</v>
      </c>
      <c r="F199" s="79" t="s">
        <v>580</v>
      </c>
    </row>
    <row r="200" spans="2:31" ht="13.5" thickBot="1">
      <c r="B200" s="426" t="s">
        <v>197</v>
      </c>
      <c r="C200" s="423"/>
      <c r="D200" s="424">
        <f>SUM(D199)</f>
        <v>10000</v>
      </c>
      <c r="F200" s="199" t="s">
        <v>197</v>
      </c>
      <c r="G200" s="255"/>
      <c r="H200" s="255"/>
      <c r="I200" s="255"/>
      <c r="J200" s="175">
        <f>SUM(J188:J199)</f>
        <v>1082480</v>
      </c>
    </row>
    <row r="201" spans="2:31" ht="13.5" thickTop="1">
      <c r="B201" s="265"/>
      <c r="D201" s="77"/>
      <c r="F201" s="256"/>
      <c r="H201" s="77"/>
    </row>
    <row r="202" spans="2:31" ht="14.25">
      <c r="B202" s="425" t="s">
        <v>805</v>
      </c>
      <c r="D202" s="77"/>
    </row>
    <row r="203" spans="2:31" ht="14.25">
      <c r="B203" s="265" t="s">
        <v>968</v>
      </c>
      <c r="D203" s="77">
        <v>0</v>
      </c>
      <c r="F203" s="425" t="s">
        <v>817</v>
      </c>
    </row>
    <row r="204" spans="2:31">
      <c r="B204" s="277" t="s">
        <v>921</v>
      </c>
      <c r="D204" s="77">
        <v>5000</v>
      </c>
      <c r="F204" s="546" t="s">
        <v>1052</v>
      </c>
      <c r="G204" s="546"/>
      <c r="H204" s="546"/>
      <c r="J204">
        <v>105000</v>
      </c>
    </row>
    <row r="205" spans="2:31" ht="13.5" thickBot="1">
      <c r="B205" s="199" t="s">
        <v>197</v>
      </c>
      <c r="C205" s="200"/>
      <c r="D205" s="175">
        <f>SUM(D203:D204)</f>
        <v>5000</v>
      </c>
      <c r="F205" s="571" t="s">
        <v>1026</v>
      </c>
      <c r="G205" s="571"/>
      <c r="H205" s="571"/>
      <c r="J205">
        <v>2899</v>
      </c>
    </row>
    <row r="206" spans="2:31" ht="13.5" thickTop="1">
      <c r="D206" s="77"/>
      <c r="F206" s="547" t="s">
        <v>1036</v>
      </c>
      <c r="G206" s="547"/>
      <c r="H206" s="547"/>
      <c r="J206">
        <v>895</v>
      </c>
    </row>
    <row r="207" spans="2:31" ht="13.5" thickBot="1">
      <c r="B207" s="344" t="s">
        <v>1005</v>
      </c>
      <c r="C207" s="347"/>
      <c r="D207" s="346"/>
      <c r="F207" s="270" t="s">
        <v>197</v>
      </c>
      <c r="G207" s="266"/>
      <c r="H207" s="266"/>
      <c r="I207" s="175"/>
      <c r="J207" s="286">
        <f>SUM(J204:J206)</f>
        <v>108794</v>
      </c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</row>
    <row r="208" spans="2:31" ht="13.5" thickTop="1">
      <c r="B208" s="396" t="s">
        <v>1020</v>
      </c>
      <c r="C208" s="347"/>
      <c r="D208" s="346">
        <v>5000</v>
      </c>
      <c r="I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</row>
    <row r="209" spans="2:31">
      <c r="B209" s="396" t="s">
        <v>1019</v>
      </c>
      <c r="C209" s="347"/>
      <c r="D209" s="346">
        <v>10000</v>
      </c>
      <c r="I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spans="2:31" ht="15" thickBot="1">
      <c r="B210" s="426" t="s">
        <v>197</v>
      </c>
      <c r="C210" s="423"/>
      <c r="D210" s="424">
        <f>SUM(D208:D209)</f>
        <v>15000</v>
      </c>
      <c r="F210" s="425" t="s">
        <v>820</v>
      </c>
      <c r="G210" s="302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2:31" ht="13.5" thickTop="1">
      <c r="D211" s="77"/>
      <c r="F211" s="277" t="s">
        <v>688</v>
      </c>
      <c r="J211" s="315">
        <f>D103</f>
        <v>1082480</v>
      </c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2:31" ht="14.25">
      <c r="B212" s="425" t="s">
        <v>806</v>
      </c>
      <c r="D212" s="77"/>
      <c r="F212" s="277"/>
      <c r="J212" s="77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</row>
    <row r="213" spans="2:31">
      <c r="B213" s="265" t="s">
        <v>1052</v>
      </c>
      <c r="D213" s="77">
        <v>105000</v>
      </c>
      <c r="F213" s="303" t="s">
        <v>824</v>
      </c>
      <c r="I213" s="311">
        <f>E104</f>
        <v>722845.36036122043</v>
      </c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</row>
    <row r="214" spans="2:31">
      <c r="B214" s="277"/>
      <c r="D214" s="77"/>
      <c r="F214" s="302" t="s">
        <v>825</v>
      </c>
      <c r="I214" s="311">
        <f>D138</f>
        <v>722.84537777964306</v>
      </c>
      <c r="J214" s="315">
        <f>I213+I214</f>
        <v>723568.20573900011</v>
      </c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</row>
    <row r="215" spans="2:31" ht="13.5" thickBot="1">
      <c r="B215" s="199" t="s">
        <v>197</v>
      </c>
      <c r="C215" s="200"/>
      <c r="D215" s="175">
        <f>SUM(D213:D214)</f>
        <v>105000</v>
      </c>
      <c r="F215" s="277"/>
      <c r="J215" s="77"/>
    </row>
    <row r="216" spans="2:31" ht="13.5" thickTop="1">
      <c r="F216" s="277" t="s">
        <v>823</v>
      </c>
      <c r="I216" s="311">
        <f>E105</f>
        <v>160602.71963877956</v>
      </c>
    </row>
    <row r="217" spans="2:31">
      <c r="B217" s="344" t="s">
        <v>1005</v>
      </c>
      <c r="C217" s="347"/>
      <c r="D217" s="347"/>
      <c r="F217" s="302" t="s">
        <v>825</v>
      </c>
      <c r="I217" s="311">
        <f>D139</f>
        <v>-94517.405377779636</v>
      </c>
      <c r="J217" s="315">
        <f>I216+I217</f>
        <v>66085.314260999919</v>
      </c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</row>
    <row r="218" spans="2:31">
      <c r="B218" s="415" t="s">
        <v>1027</v>
      </c>
      <c r="C218" s="350"/>
      <c r="D218" s="355">
        <v>10000</v>
      </c>
      <c r="F218" s="277"/>
      <c r="J218" s="77"/>
    </row>
    <row r="219" spans="2:31" ht="13.5" thickBot="1">
      <c r="B219" s="426" t="s">
        <v>197</v>
      </c>
      <c r="C219" s="423"/>
      <c r="D219" s="428">
        <f>SUM(D218:D218)</f>
        <v>10000</v>
      </c>
      <c r="F219" s="199" t="s">
        <v>197</v>
      </c>
      <c r="G219" s="266"/>
      <c r="H219" s="266"/>
      <c r="I219" s="200"/>
      <c r="J219" s="175">
        <f>SUM(J211:J218)</f>
        <v>1872133.52</v>
      </c>
    </row>
    <row r="220" spans="2:31" ht="13.5" thickTop="1">
      <c r="C220" s="34"/>
      <c r="D220" s="296"/>
    </row>
    <row r="223" spans="2:31">
      <c r="E223" s="77"/>
    </row>
    <row r="231" spans="6:31">
      <c r="F231" s="34"/>
      <c r="G231" s="82"/>
      <c r="H231" s="82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</row>
    <row r="232" spans="6:31">
      <c r="F232" s="34"/>
      <c r="G232" s="82"/>
      <c r="H232" s="82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</row>
    <row r="233" spans="6:31"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</row>
    <row r="234" spans="6:31"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</row>
    <row r="235" spans="6:31"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</row>
    <row r="236" spans="6:31"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</row>
    <row r="237" spans="6:31"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</row>
    <row r="262" spans="1:31"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</row>
    <row r="269" spans="1:31" s="254" customFormat="1">
      <c r="A269"/>
      <c r="E269"/>
    </row>
    <row r="270" spans="1:31">
      <c r="A270" s="254"/>
      <c r="E270" s="254"/>
    </row>
    <row r="313" spans="2:4">
      <c r="D313" s="77"/>
    </row>
    <row r="314" spans="2:4">
      <c r="B314" s="177"/>
      <c r="D314" s="77"/>
    </row>
    <row r="315" spans="2:4">
      <c r="B315" s="34"/>
      <c r="D315" s="77"/>
    </row>
    <row r="316" spans="2:4">
      <c r="D316" s="77"/>
    </row>
    <row r="317" spans="2:4">
      <c r="D317" s="77"/>
    </row>
  </sheetData>
  <mergeCells count="67">
    <mergeCell ref="L6:M6"/>
    <mergeCell ref="F204:H204"/>
    <mergeCell ref="F205:H205"/>
    <mergeCell ref="F206:H206"/>
    <mergeCell ref="AJ6:AK6"/>
    <mergeCell ref="K126:M126"/>
    <mergeCell ref="X6:Y6"/>
    <mergeCell ref="N6:O6"/>
    <mergeCell ref="P6:Q6"/>
    <mergeCell ref="R6:S6"/>
    <mergeCell ref="T6:U6"/>
    <mergeCell ref="V6:W6"/>
    <mergeCell ref="V7:W7"/>
    <mergeCell ref="X7:Y7"/>
    <mergeCell ref="Z6:AA6"/>
    <mergeCell ref="AB6:AC6"/>
    <mergeCell ref="AX6:AY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L6:AM6"/>
    <mergeCell ref="AN6:AO6"/>
    <mergeCell ref="AP6:AQ6"/>
    <mergeCell ref="AR6:AS6"/>
    <mergeCell ref="D6:E6"/>
    <mergeCell ref="F6:G6"/>
    <mergeCell ref="AT6:AU6"/>
    <mergeCell ref="AV6:AW6"/>
    <mergeCell ref="Z7:AA7"/>
    <mergeCell ref="AB7:AC7"/>
    <mergeCell ref="AD7:AE7"/>
    <mergeCell ref="AT7:AU7"/>
    <mergeCell ref="AV7:AW7"/>
    <mergeCell ref="AF7:AG7"/>
    <mergeCell ref="AF6:AG6"/>
    <mergeCell ref="AH6:AI6"/>
    <mergeCell ref="AD6:AE6"/>
    <mergeCell ref="AX7:AY7"/>
    <mergeCell ref="AH7:AI7"/>
    <mergeCell ref="AJ7:AK7"/>
    <mergeCell ref="AL7:AM7"/>
    <mergeCell ref="AN7:AO7"/>
    <mergeCell ref="AP7:AQ7"/>
    <mergeCell ref="AR7:AS7"/>
    <mergeCell ref="F159:G159"/>
    <mergeCell ref="F160:G160"/>
    <mergeCell ref="F161:G161"/>
    <mergeCell ref="F165:I166"/>
    <mergeCell ref="F167:G167"/>
    <mergeCell ref="B148:J148"/>
    <mergeCell ref="B112:I112"/>
    <mergeCell ref="B77:F77"/>
    <mergeCell ref="A1:G1"/>
    <mergeCell ref="F156:G156"/>
    <mergeCell ref="F151:G151"/>
    <mergeCell ref="F152:G152"/>
    <mergeCell ref="F153:G153"/>
    <mergeCell ref="F154:G154"/>
    <mergeCell ref="F155:G155"/>
    <mergeCell ref="H6:I6"/>
    <mergeCell ref="J6:K6"/>
  </mergeCells>
  <conditionalFormatting sqref="E143:E144">
    <cfRule type="cellIs" dxfId="7" priority="1" operator="equal">
      <formula>"Feil"</formula>
    </cfRule>
    <cfRule type="cellIs" dxfId="6" priority="2" operator="equal">
      <formula>"OK"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D297"/>
  <sheetViews>
    <sheetView topLeftCell="A22" zoomScale="110" zoomScaleNormal="110" zoomScalePageLayoutView="110" workbookViewId="0">
      <selection activeCell="A49" sqref="A49:XFD49"/>
    </sheetView>
  </sheetViews>
  <sheetFormatPr baseColWidth="10" defaultColWidth="11.42578125" defaultRowHeight="12.75"/>
  <cols>
    <col min="1" max="1" width="10.140625" bestFit="1" customWidth="1"/>
    <col min="2" max="2" width="38" customWidth="1"/>
    <col min="3" max="3" width="7.85546875" customWidth="1"/>
    <col min="4" max="5" width="12.7109375" customWidth="1"/>
    <col min="6" max="6" width="16.7109375" customWidth="1"/>
    <col min="7" max="8" width="12.7109375" customWidth="1"/>
    <col min="9" max="9" width="16.140625" customWidth="1"/>
    <col min="10" max="71" width="12.7109375" customWidth="1"/>
  </cols>
  <sheetData>
    <row r="1" spans="1:238" s="37" customFormat="1" ht="21" thickBot="1">
      <c r="A1" s="572" t="s">
        <v>962</v>
      </c>
      <c r="B1" s="573"/>
      <c r="C1" s="574"/>
    </row>
    <row r="2" spans="1:238" s="37" customFormat="1">
      <c r="A2" s="240" t="s">
        <v>510</v>
      </c>
      <c r="B2" s="209"/>
      <c r="C2" s="209"/>
    </row>
    <row r="3" spans="1:238" s="37" customFormat="1">
      <c r="A3" s="241" t="s">
        <v>153</v>
      </c>
      <c r="B3" s="210"/>
      <c r="C3" s="210"/>
    </row>
    <row r="4" spans="1:238" s="37" customFormat="1" ht="13.5" thickBot="1">
      <c r="A4" s="242" t="s">
        <v>159</v>
      </c>
      <c r="B4" s="210"/>
      <c r="C4" s="210"/>
      <c r="F4" s="37">
        <v>6100</v>
      </c>
      <c r="H4" s="37">
        <v>6200</v>
      </c>
      <c r="J4" s="37">
        <v>6300</v>
      </c>
      <c r="N4" s="37">
        <v>6400</v>
      </c>
      <c r="P4" s="37">
        <v>6500</v>
      </c>
      <c r="R4" s="37">
        <v>6600</v>
      </c>
      <c r="T4" s="37">
        <v>6700</v>
      </c>
      <c r="X4" s="37">
        <v>6800</v>
      </c>
      <c r="Z4" s="37">
        <v>6900</v>
      </c>
    </row>
    <row r="5" spans="1:238" s="208" customFormat="1">
      <c r="A5" s="228" t="s">
        <v>20</v>
      </c>
      <c r="B5" s="229" t="s">
        <v>0</v>
      </c>
      <c r="C5" s="230" t="s">
        <v>1</v>
      </c>
      <c r="D5" s="564" t="s">
        <v>650</v>
      </c>
      <c r="E5" s="564"/>
      <c r="F5" s="566" t="s">
        <v>328</v>
      </c>
      <c r="G5" s="566"/>
      <c r="H5" s="566" t="s">
        <v>477</v>
      </c>
      <c r="I5" s="566"/>
      <c r="J5" s="566" t="s">
        <v>163</v>
      </c>
      <c r="K5" s="566"/>
      <c r="L5" s="566" t="s">
        <v>759</v>
      </c>
      <c r="M5" s="566"/>
      <c r="N5" s="566" t="s">
        <v>95</v>
      </c>
      <c r="O5" s="566"/>
      <c r="P5" s="566" t="s">
        <v>336</v>
      </c>
      <c r="Q5" s="566"/>
      <c r="R5" s="567">
        <v>39585</v>
      </c>
      <c r="S5" s="566"/>
      <c r="T5" s="566" t="s">
        <v>338</v>
      </c>
      <c r="U5" s="566"/>
      <c r="V5" s="566" t="s">
        <v>468</v>
      </c>
      <c r="W5" s="566"/>
      <c r="X5" s="566" t="s">
        <v>684</v>
      </c>
      <c r="Y5" s="566"/>
      <c r="Z5" s="566" t="s">
        <v>761</v>
      </c>
      <c r="AA5" s="566"/>
      <c r="AB5" s="568" t="s">
        <v>6</v>
      </c>
      <c r="AC5" s="568"/>
      <c r="AD5" s="564" t="s">
        <v>607</v>
      </c>
      <c r="AE5" s="564"/>
      <c r="AF5" s="568" t="s">
        <v>331</v>
      </c>
      <c r="AG5" s="568"/>
      <c r="AH5" s="568" t="s">
        <v>355</v>
      </c>
      <c r="AI5" s="568"/>
      <c r="AJ5" s="564" t="s">
        <v>520</v>
      </c>
      <c r="AK5" s="564"/>
      <c r="AL5" s="564" t="s">
        <v>518</v>
      </c>
      <c r="AM5" s="564"/>
      <c r="AN5" s="564" t="s">
        <v>516</v>
      </c>
      <c r="AO5" s="564"/>
      <c r="AP5" s="564" t="s">
        <v>514</v>
      </c>
      <c r="AQ5" s="564"/>
      <c r="AR5" s="564" t="s">
        <v>687</v>
      </c>
      <c r="AS5" s="564"/>
      <c r="AT5" s="564" t="s">
        <v>692</v>
      </c>
      <c r="AU5" s="564"/>
      <c r="AV5" s="564" t="s">
        <v>30</v>
      </c>
      <c r="AW5" s="565"/>
      <c r="AX5" s="564" t="s">
        <v>32</v>
      </c>
      <c r="AY5" s="564"/>
    </row>
    <row r="6" spans="1:238" s="208" customFormat="1">
      <c r="A6" s="231"/>
      <c r="B6" s="252"/>
      <c r="C6" s="227" t="s">
        <v>16</v>
      </c>
      <c r="D6" s="559" t="s">
        <v>249</v>
      </c>
      <c r="E6" s="559"/>
      <c r="F6" s="563" t="s">
        <v>329</v>
      </c>
      <c r="G6" s="563"/>
      <c r="H6" s="563"/>
      <c r="I6" s="563"/>
      <c r="J6" s="563"/>
      <c r="K6" s="563"/>
      <c r="L6" s="563"/>
      <c r="M6" s="563"/>
      <c r="N6" s="563"/>
      <c r="O6" s="563"/>
      <c r="P6" s="563" t="s">
        <v>337</v>
      </c>
      <c r="Q6" s="563"/>
      <c r="R6" s="563"/>
      <c r="S6" s="563"/>
      <c r="T6" s="563"/>
      <c r="U6" s="563"/>
      <c r="V6" s="563" t="s">
        <v>685</v>
      </c>
      <c r="W6" s="563"/>
      <c r="X6" s="563"/>
      <c r="Y6" s="563"/>
      <c r="Z6" s="563" t="s">
        <v>686</v>
      </c>
      <c r="AA6" s="563"/>
      <c r="AB6" s="562"/>
      <c r="AC6" s="562"/>
      <c r="AD6" s="559" t="s">
        <v>608</v>
      </c>
      <c r="AE6" s="559"/>
      <c r="AF6" s="562" t="s">
        <v>650</v>
      </c>
      <c r="AG6" s="562"/>
      <c r="AH6" s="562"/>
      <c r="AI6" s="562"/>
      <c r="AJ6" s="559" t="s">
        <v>519</v>
      </c>
      <c r="AK6" s="559"/>
      <c r="AL6" s="559" t="s">
        <v>519</v>
      </c>
      <c r="AM6" s="559"/>
      <c r="AN6" s="559" t="s">
        <v>517</v>
      </c>
      <c r="AO6" s="559"/>
      <c r="AP6" s="559" t="s">
        <v>515</v>
      </c>
      <c r="AQ6" s="559"/>
      <c r="AR6" s="559" t="s">
        <v>791</v>
      </c>
      <c r="AS6" s="559"/>
      <c r="AT6" s="559" t="s">
        <v>790</v>
      </c>
      <c r="AU6" s="559"/>
      <c r="AV6" s="559"/>
      <c r="AW6" s="560"/>
      <c r="AX6" s="559"/>
      <c r="AY6" s="559"/>
    </row>
    <row r="7" spans="1:238" s="226" customFormat="1">
      <c r="A7" s="232"/>
      <c r="B7" s="222"/>
      <c r="C7" s="223"/>
      <c r="D7" s="224" t="s">
        <v>28</v>
      </c>
      <c r="E7" s="225" t="s">
        <v>29</v>
      </c>
      <c r="F7" s="224" t="s">
        <v>28</v>
      </c>
      <c r="G7" s="225" t="s">
        <v>29</v>
      </c>
      <c r="H7" s="224" t="s">
        <v>28</v>
      </c>
      <c r="I7" s="225" t="s">
        <v>29</v>
      </c>
      <c r="J7" s="224" t="s">
        <v>28</v>
      </c>
      <c r="K7" s="225" t="s">
        <v>29</v>
      </c>
      <c r="L7" s="224" t="s">
        <v>28</v>
      </c>
      <c r="M7" s="225" t="s">
        <v>29</v>
      </c>
      <c r="N7" s="224" t="s">
        <v>28</v>
      </c>
      <c r="O7" s="225" t="s">
        <v>29</v>
      </c>
      <c r="P7" s="224" t="s">
        <v>28</v>
      </c>
      <c r="Q7" s="225" t="s">
        <v>29</v>
      </c>
      <c r="R7" s="224" t="s">
        <v>28</v>
      </c>
      <c r="S7" s="225" t="s">
        <v>29</v>
      </c>
      <c r="T7" s="224" t="s">
        <v>28</v>
      </c>
      <c r="U7" s="225" t="s">
        <v>29</v>
      </c>
      <c r="V7" s="224" t="s">
        <v>28</v>
      </c>
      <c r="W7" s="225" t="s">
        <v>29</v>
      </c>
      <c r="X7" s="224" t="s">
        <v>28</v>
      </c>
      <c r="Y7" s="225" t="s">
        <v>29</v>
      </c>
      <c r="Z7" s="224" t="s">
        <v>28</v>
      </c>
      <c r="AA7" s="225" t="s">
        <v>29</v>
      </c>
      <c r="AB7" s="224" t="s">
        <v>28</v>
      </c>
      <c r="AC7" s="225" t="s">
        <v>29</v>
      </c>
      <c r="AD7" s="224" t="s">
        <v>28</v>
      </c>
      <c r="AE7" s="225" t="s">
        <v>29</v>
      </c>
      <c r="AF7" s="224" t="s">
        <v>28</v>
      </c>
      <c r="AG7" s="225" t="s">
        <v>29</v>
      </c>
      <c r="AH7" s="224" t="s">
        <v>28</v>
      </c>
      <c r="AI7" s="225" t="s">
        <v>29</v>
      </c>
      <c r="AJ7" s="224" t="s">
        <v>28</v>
      </c>
      <c r="AK7" s="225" t="s">
        <v>29</v>
      </c>
      <c r="AL7" s="224" t="s">
        <v>28</v>
      </c>
      <c r="AM7" s="225" t="s">
        <v>29</v>
      </c>
      <c r="AN7" s="224" t="s">
        <v>28</v>
      </c>
      <c r="AO7" s="225" t="s">
        <v>29</v>
      </c>
      <c r="AP7" s="224" t="s">
        <v>28</v>
      </c>
      <c r="AQ7" s="225" t="s">
        <v>29</v>
      </c>
      <c r="AR7" s="224" t="s">
        <v>28</v>
      </c>
      <c r="AS7" s="225" t="s">
        <v>29</v>
      </c>
      <c r="AT7" s="224" t="s">
        <v>28</v>
      </c>
      <c r="AU7" s="225" t="s">
        <v>29</v>
      </c>
      <c r="AV7" s="224" t="s">
        <v>28</v>
      </c>
      <c r="AW7" s="370" t="s">
        <v>29</v>
      </c>
      <c r="AX7" s="224" t="s">
        <v>28</v>
      </c>
      <c r="AY7" s="225" t="s">
        <v>29</v>
      </c>
    </row>
    <row r="8" spans="1:238" s="34" customFormat="1">
      <c r="A8" s="247" t="s">
        <v>840</v>
      </c>
      <c r="B8" s="248" t="s">
        <v>838</v>
      </c>
      <c r="C8" s="249"/>
      <c r="D8" s="250">
        <f>'Regnskap 2014'!D62</f>
        <v>15516.089999999989</v>
      </c>
      <c r="E8" s="251"/>
      <c r="F8" s="250"/>
      <c r="G8" s="251"/>
      <c r="H8" s="250"/>
      <c r="I8" s="251"/>
      <c r="J8" s="250"/>
      <c r="K8" s="251"/>
      <c r="L8" s="250"/>
      <c r="M8" s="251"/>
      <c r="N8" s="250"/>
      <c r="O8" s="251"/>
      <c r="P8" s="250"/>
      <c r="Q8" s="251"/>
      <c r="R8" s="250"/>
      <c r="S8" s="251"/>
      <c r="T8" s="250"/>
      <c r="U8" s="251"/>
      <c r="V8" s="250"/>
      <c r="W8" s="251"/>
      <c r="X8" s="250"/>
      <c r="Y8" s="251"/>
      <c r="Z8" s="250"/>
      <c r="AA8" s="251"/>
      <c r="AB8" s="250"/>
      <c r="AC8" s="251"/>
      <c r="AD8" s="250">
        <f>'Regnskap 2014'!AD62</f>
        <v>820025.34</v>
      </c>
      <c r="AE8" s="251"/>
      <c r="AF8" s="250"/>
      <c r="AG8" s="251"/>
      <c r="AH8" s="250"/>
      <c r="AI8" s="251"/>
      <c r="AJ8" s="250">
        <f>'Regnskap 2014'!AJ62</f>
        <v>950000</v>
      </c>
      <c r="AK8" s="251"/>
      <c r="AL8" s="250">
        <f>'Regnskap 2014'!AL62</f>
        <v>112480</v>
      </c>
      <c r="AM8" s="251"/>
      <c r="AN8" s="250">
        <f>'Regnskap 2014'!AN62</f>
        <v>20000</v>
      </c>
      <c r="AO8" s="251"/>
      <c r="AP8" s="250"/>
      <c r="AQ8" s="251">
        <f>'Regnskap 2014'!AQ62</f>
        <v>1082480</v>
      </c>
      <c r="AR8" s="250"/>
      <c r="AS8" s="251">
        <f>'Regnskap 2014'!AS62</f>
        <v>721115.91517713771</v>
      </c>
      <c r="AT8" s="250"/>
      <c r="AU8" s="251">
        <f>'Regnskap 2014'!AU62</f>
        <v>144405.47482286231</v>
      </c>
      <c r="AV8" s="250"/>
      <c r="AW8" s="371">
        <v>0</v>
      </c>
      <c r="AX8" s="250">
        <f>'Regnskap 2014'!AX62</f>
        <v>29979.96</v>
      </c>
      <c r="AY8" s="251"/>
      <c r="AZ8" s="243">
        <f>+D8-E8+F8-G8+H8-I8+J8-K8+L8-M8+N8-O8+P8-Q8+R8-S8+T8-U8+V8-W8+X8-Y8+Z8-AA8+AB8-AC8+AD8-AE8+AF8-AG8+AH8-AI8+AJ8-AK8+AL8-AM8+AN8-AO8+AP8-AQ8+AR8-AS8+AT8-AU8+AV8-AW8+AX8-AY8</f>
        <v>-8.0035533756017685E-11</v>
      </c>
      <c r="BA8" s="244"/>
      <c r="BB8" s="244"/>
    </row>
    <row r="9" spans="1:238" s="79" customFormat="1">
      <c r="A9" s="233">
        <v>42006</v>
      </c>
      <c r="B9" s="257" t="s">
        <v>932</v>
      </c>
      <c r="C9" s="285" t="s">
        <v>715</v>
      </c>
      <c r="D9" s="212"/>
      <c r="E9" s="213">
        <v>93.5</v>
      </c>
      <c r="F9" s="212"/>
      <c r="G9" s="213"/>
      <c r="H9" s="212"/>
      <c r="I9" s="213"/>
      <c r="J9" s="212"/>
      <c r="K9" s="213"/>
      <c r="L9" s="212"/>
      <c r="M9" s="213"/>
      <c r="N9" s="212"/>
      <c r="O9" s="213"/>
      <c r="P9" s="212">
        <v>93.5</v>
      </c>
      <c r="Q9" s="213"/>
      <c r="R9" s="212"/>
      <c r="S9" s="213"/>
      <c r="T9" s="212"/>
      <c r="U9" s="213"/>
      <c r="V9" s="212"/>
      <c r="W9" s="213"/>
      <c r="X9" s="212"/>
      <c r="Y9" s="213"/>
      <c r="Z9" s="212"/>
      <c r="AA9" s="213"/>
      <c r="AB9" s="212"/>
      <c r="AC9" s="213"/>
      <c r="AD9" s="212"/>
      <c r="AE9" s="213"/>
      <c r="AF9" s="212"/>
      <c r="AG9" s="213"/>
      <c r="AH9" s="212"/>
      <c r="AI9" s="213"/>
      <c r="AJ9" s="212"/>
      <c r="AK9" s="213"/>
      <c r="AL9" s="212"/>
      <c r="AM9" s="213"/>
      <c r="AN9" s="212"/>
      <c r="AO9" s="213"/>
      <c r="AP9" s="212"/>
      <c r="AQ9" s="213"/>
      <c r="AR9" s="212"/>
      <c r="AS9" s="213"/>
      <c r="AT9" s="212"/>
      <c r="AU9" s="213"/>
      <c r="AV9" s="212"/>
      <c r="AW9" s="372"/>
      <c r="AX9" s="212"/>
      <c r="AY9" s="213"/>
      <c r="AZ9" s="243">
        <f t="shared" ref="AZ9:AZ60" si="0">+D9-E9+F9-G9+H9-I9+J9-K9+L9-M9+N9-O9+P9-Q9+R9-S9+T9-U9+V9-W9+X9-Y9+Z9-AA9+AB9-AC9+AD9-AE9+AF9-AG9+AH9-AI9+AJ9-AK9+AL9-AM9+AN9-AO9+AP9-AQ9+AR9-AS9+AT9-AU9+AV9-AW9+AX9-AY9</f>
        <v>0</v>
      </c>
      <c r="BA9" s="194"/>
      <c r="BB9" s="194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</row>
    <row r="10" spans="1:238" s="79" customFormat="1">
      <c r="A10" s="260">
        <v>42006</v>
      </c>
      <c r="B10" s="257" t="s">
        <v>933</v>
      </c>
      <c r="C10" s="285" t="s">
        <v>716</v>
      </c>
      <c r="D10" s="214">
        <v>200</v>
      </c>
      <c r="E10" s="215"/>
      <c r="F10" s="214"/>
      <c r="G10" s="215"/>
      <c r="H10" s="214"/>
      <c r="I10" s="215"/>
      <c r="J10" s="214"/>
      <c r="K10" s="215"/>
      <c r="L10" s="214"/>
      <c r="M10" s="215"/>
      <c r="N10" s="214"/>
      <c r="O10" s="215"/>
      <c r="P10" s="214"/>
      <c r="Q10" s="215"/>
      <c r="R10" s="214"/>
      <c r="S10" s="215"/>
      <c r="T10" s="214"/>
      <c r="U10" s="215"/>
      <c r="V10" s="214"/>
      <c r="W10" s="215"/>
      <c r="X10" s="214"/>
      <c r="Y10" s="215"/>
      <c r="Z10" s="214"/>
      <c r="AA10" s="215"/>
      <c r="AB10" s="214"/>
      <c r="AC10" s="215"/>
      <c r="AD10" s="214"/>
      <c r="AE10" s="215"/>
      <c r="AF10" s="214"/>
      <c r="AG10" s="215"/>
      <c r="AH10" s="214"/>
      <c r="AI10" s="215"/>
      <c r="AJ10" s="214"/>
      <c r="AK10" s="215"/>
      <c r="AL10" s="214"/>
      <c r="AM10" s="215"/>
      <c r="AN10" s="214"/>
      <c r="AO10" s="215"/>
      <c r="AP10" s="214"/>
      <c r="AQ10" s="215"/>
      <c r="AR10" s="214"/>
      <c r="AS10" s="215"/>
      <c r="AT10" s="214"/>
      <c r="AU10" s="215"/>
      <c r="AV10" s="362"/>
      <c r="AW10" s="373"/>
      <c r="AX10" s="362"/>
      <c r="AY10" s="363">
        <v>200</v>
      </c>
      <c r="AZ10" s="243">
        <f t="shared" si="0"/>
        <v>0</v>
      </c>
      <c r="BA10" s="194"/>
      <c r="BB10" s="194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</row>
    <row r="11" spans="1:238" s="79" customFormat="1">
      <c r="A11" s="233">
        <v>42018</v>
      </c>
      <c r="B11" s="257" t="s">
        <v>348</v>
      </c>
      <c r="C11" s="285" t="s">
        <v>717</v>
      </c>
      <c r="D11" s="212">
        <v>24619.25</v>
      </c>
      <c r="E11" s="215"/>
      <c r="F11" s="214"/>
      <c r="G11" s="215"/>
      <c r="H11" s="214"/>
      <c r="I11" s="215"/>
      <c r="J11" s="214"/>
      <c r="K11" s="215"/>
      <c r="L11" s="214"/>
      <c r="M11" s="215"/>
      <c r="N11" s="214"/>
      <c r="O11" s="215"/>
      <c r="P11" s="214"/>
      <c r="Q11" s="215"/>
      <c r="R11" s="214"/>
      <c r="S11" s="215"/>
      <c r="T11" s="214"/>
      <c r="U11" s="215"/>
      <c r="V11" s="214"/>
      <c r="W11" s="215"/>
      <c r="X11" s="214"/>
      <c r="Y11" s="215"/>
      <c r="Z11" s="214"/>
      <c r="AA11" s="215"/>
      <c r="AB11" s="214"/>
      <c r="AC11" s="215"/>
      <c r="AD11" s="214"/>
      <c r="AE11" s="215"/>
      <c r="AF11" s="214"/>
      <c r="AG11" s="215"/>
      <c r="AH11" s="214"/>
      <c r="AI11" s="215"/>
      <c r="AJ11" s="214"/>
      <c r="AK11" s="215"/>
      <c r="AL11" s="214"/>
      <c r="AM11" s="215"/>
      <c r="AN11" s="214"/>
      <c r="AO11" s="215"/>
      <c r="AP11" s="214"/>
      <c r="AQ11" s="215"/>
      <c r="AR11" s="214"/>
      <c r="AS11" s="215"/>
      <c r="AT11" s="214"/>
      <c r="AU11" s="215"/>
      <c r="AV11" s="362"/>
      <c r="AW11" s="374"/>
      <c r="AX11" s="362"/>
      <c r="AY11" s="363">
        <v>24619.25</v>
      </c>
      <c r="AZ11" s="243">
        <f t="shared" si="0"/>
        <v>0</v>
      </c>
      <c r="BA11" s="194"/>
      <c r="BB11" s="194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</row>
    <row r="12" spans="1:238" s="79" customFormat="1">
      <c r="A12" s="233">
        <v>42037</v>
      </c>
      <c r="B12" s="257" t="s">
        <v>934</v>
      </c>
      <c r="C12" s="285" t="s">
        <v>718</v>
      </c>
      <c r="D12" s="212"/>
      <c r="E12" s="213">
        <v>80</v>
      </c>
      <c r="F12" s="365"/>
      <c r="G12" s="364"/>
      <c r="H12" s="365"/>
      <c r="I12" s="364"/>
      <c r="J12" s="365"/>
      <c r="K12" s="213"/>
      <c r="L12" s="212"/>
      <c r="M12" s="213"/>
      <c r="N12" s="212"/>
      <c r="O12" s="213"/>
      <c r="P12" s="365">
        <v>80</v>
      </c>
      <c r="Q12" s="364"/>
      <c r="R12" s="365"/>
      <c r="S12" s="364"/>
      <c r="T12" s="365"/>
      <c r="U12" s="213"/>
      <c r="V12" s="212"/>
      <c r="W12" s="213"/>
      <c r="X12" s="212"/>
      <c r="Y12" s="213"/>
      <c r="Z12" s="212"/>
      <c r="AA12" s="213"/>
      <c r="AB12" s="212"/>
      <c r="AC12" s="213"/>
      <c r="AD12" s="212"/>
      <c r="AE12" s="213"/>
      <c r="AF12" s="212"/>
      <c r="AG12" s="213"/>
      <c r="AH12" s="212"/>
      <c r="AI12" s="213"/>
      <c r="AJ12" s="212"/>
      <c r="AK12" s="213"/>
      <c r="AL12" s="212"/>
      <c r="AM12" s="213"/>
      <c r="AN12" s="212"/>
      <c r="AO12" s="213"/>
      <c r="AP12" s="212"/>
      <c r="AQ12" s="213"/>
      <c r="AR12" s="212"/>
      <c r="AS12" s="213"/>
      <c r="AT12" s="212"/>
      <c r="AU12" s="213"/>
      <c r="AV12" s="365"/>
      <c r="AW12" s="374"/>
      <c r="AX12" s="365"/>
      <c r="AY12" s="364"/>
      <c r="AZ12" s="243">
        <f t="shared" si="0"/>
        <v>0</v>
      </c>
      <c r="BA12" s="194"/>
      <c r="BB12" s="194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</row>
    <row r="13" spans="1:238" s="185" customFormat="1">
      <c r="A13" s="233">
        <v>42060</v>
      </c>
      <c r="B13" s="257" t="s">
        <v>935</v>
      </c>
      <c r="C13" s="284" t="s">
        <v>719</v>
      </c>
      <c r="D13" s="212">
        <v>800</v>
      </c>
      <c r="E13" s="213"/>
      <c r="F13" s="365"/>
      <c r="G13" s="364"/>
      <c r="H13" s="365"/>
      <c r="I13" s="364"/>
      <c r="J13" s="365"/>
      <c r="K13" s="213"/>
      <c r="L13" s="212"/>
      <c r="M13" s="213"/>
      <c r="N13" s="212"/>
      <c r="O13" s="213"/>
      <c r="P13" s="365"/>
      <c r="Q13" s="364"/>
      <c r="R13" s="365"/>
      <c r="S13" s="364"/>
      <c r="T13" s="365"/>
      <c r="U13" s="213"/>
      <c r="V13" s="212"/>
      <c r="W13" s="213"/>
      <c r="X13" s="212"/>
      <c r="Y13" s="213"/>
      <c r="Z13" s="212"/>
      <c r="AA13" s="213"/>
      <c r="AB13" s="212"/>
      <c r="AC13" s="213"/>
      <c r="AD13" s="212"/>
      <c r="AE13" s="213"/>
      <c r="AF13" s="212"/>
      <c r="AG13" s="213"/>
      <c r="AH13" s="212"/>
      <c r="AI13" s="213"/>
      <c r="AJ13" s="212"/>
      <c r="AK13" s="213"/>
      <c r="AL13" s="212"/>
      <c r="AM13" s="213"/>
      <c r="AN13" s="212"/>
      <c r="AO13" s="213"/>
      <c r="AP13" s="212"/>
      <c r="AQ13" s="213"/>
      <c r="AR13" s="212"/>
      <c r="AS13" s="213"/>
      <c r="AT13" s="212"/>
      <c r="AU13" s="213"/>
      <c r="AV13" s="365"/>
      <c r="AW13" s="374"/>
      <c r="AX13" s="365"/>
      <c r="AY13" s="364">
        <v>800</v>
      </c>
      <c r="AZ13" s="243">
        <f t="shared" si="0"/>
        <v>0</v>
      </c>
      <c r="BA13" s="194"/>
      <c r="BB13" s="194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</row>
    <row r="14" spans="1:238" s="79" customFormat="1">
      <c r="A14" s="233">
        <v>42065</v>
      </c>
      <c r="B14" s="257" t="s">
        <v>936</v>
      </c>
      <c r="C14" s="285" t="s">
        <v>720</v>
      </c>
      <c r="D14" s="214"/>
      <c r="E14" s="215">
        <v>80</v>
      </c>
      <c r="F14" s="362"/>
      <c r="G14" s="363"/>
      <c r="H14" s="362"/>
      <c r="I14" s="363"/>
      <c r="J14" s="362"/>
      <c r="K14" s="215"/>
      <c r="L14" s="214"/>
      <c r="M14" s="215"/>
      <c r="N14" s="214"/>
      <c r="O14" s="215"/>
      <c r="P14" s="362">
        <v>80</v>
      </c>
      <c r="Q14" s="363"/>
      <c r="R14" s="362"/>
      <c r="S14" s="363"/>
      <c r="T14" s="362"/>
      <c r="U14" s="215"/>
      <c r="V14" s="214"/>
      <c r="W14" s="215"/>
      <c r="X14" s="214"/>
      <c r="Y14" s="215"/>
      <c r="Z14" s="214"/>
      <c r="AA14" s="215"/>
      <c r="AB14" s="214"/>
      <c r="AC14" s="215"/>
      <c r="AD14" s="214"/>
      <c r="AE14" s="215"/>
      <c r="AF14" s="214"/>
      <c r="AG14" s="215"/>
      <c r="AH14" s="214"/>
      <c r="AI14" s="215"/>
      <c r="AJ14" s="214"/>
      <c r="AK14" s="215"/>
      <c r="AL14" s="214"/>
      <c r="AM14" s="215"/>
      <c r="AN14" s="214"/>
      <c r="AO14" s="215"/>
      <c r="AP14" s="214"/>
      <c r="AQ14" s="215"/>
      <c r="AR14" s="214"/>
      <c r="AS14" s="215"/>
      <c r="AT14" s="214"/>
      <c r="AU14" s="215"/>
      <c r="AV14" s="362"/>
      <c r="AW14" s="373"/>
      <c r="AX14" s="362"/>
      <c r="AY14" s="363"/>
      <c r="AZ14" s="243">
        <f t="shared" si="0"/>
        <v>0</v>
      </c>
      <c r="BA14" s="194"/>
      <c r="BB14" s="194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</row>
    <row r="15" spans="1:238" s="79" customFormat="1">
      <c r="A15" s="234">
        <v>41701</v>
      </c>
      <c r="B15" s="257" t="s">
        <v>937</v>
      </c>
      <c r="C15" s="284" t="s">
        <v>721</v>
      </c>
      <c r="D15" s="214">
        <v>200</v>
      </c>
      <c r="E15" s="215"/>
      <c r="F15" s="362"/>
      <c r="G15" s="363"/>
      <c r="H15" s="362"/>
      <c r="I15" s="363"/>
      <c r="J15" s="362"/>
      <c r="K15" s="215"/>
      <c r="L15" s="214"/>
      <c r="M15" s="215"/>
      <c r="N15" s="214"/>
      <c r="O15" s="215"/>
      <c r="P15" s="362"/>
      <c r="Q15" s="363"/>
      <c r="R15" s="362"/>
      <c r="S15" s="363"/>
      <c r="T15" s="362"/>
      <c r="U15" s="215"/>
      <c r="V15" s="214"/>
      <c r="W15" s="215"/>
      <c r="X15" s="214"/>
      <c r="Y15" s="215"/>
      <c r="Z15" s="214"/>
      <c r="AA15" s="215"/>
      <c r="AB15" s="214"/>
      <c r="AC15" s="215"/>
      <c r="AD15" s="214"/>
      <c r="AE15" s="215"/>
      <c r="AF15" s="214"/>
      <c r="AG15" s="215"/>
      <c r="AH15" s="214"/>
      <c r="AI15" s="215"/>
      <c r="AJ15" s="214"/>
      <c r="AK15" s="215"/>
      <c r="AL15" s="214"/>
      <c r="AM15" s="215"/>
      <c r="AN15" s="214"/>
      <c r="AO15" s="215"/>
      <c r="AP15" s="214"/>
      <c r="AQ15" s="215"/>
      <c r="AR15" s="214"/>
      <c r="AS15" s="215"/>
      <c r="AT15" s="214"/>
      <c r="AU15" s="215"/>
      <c r="AV15" s="362"/>
      <c r="AW15" s="373"/>
      <c r="AX15" s="362"/>
      <c r="AY15" s="363">
        <v>200</v>
      </c>
      <c r="AZ15" s="243">
        <f t="shared" si="0"/>
        <v>0</v>
      </c>
      <c r="BA15" s="70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</row>
    <row r="16" spans="1:238" s="79" customFormat="1">
      <c r="A16" s="233">
        <v>42095</v>
      </c>
      <c r="B16" s="257" t="s">
        <v>938</v>
      </c>
      <c r="C16" s="285" t="s">
        <v>722</v>
      </c>
      <c r="D16" s="214"/>
      <c r="E16" s="215">
        <v>85.5</v>
      </c>
      <c r="F16" s="362"/>
      <c r="G16" s="363"/>
      <c r="H16" s="362"/>
      <c r="I16" s="363"/>
      <c r="J16" s="362"/>
      <c r="K16" s="215"/>
      <c r="L16" s="214"/>
      <c r="M16" s="215"/>
      <c r="N16" s="214"/>
      <c r="O16" s="215"/>
      <c r="P16" s="362">
        <v>85.5</v>
      </c>
      <c r="Q16" s="363"/>
      <c r="R16" s="362"/>
      <c r="S16" s="363"/>
      <c r="T16" s="362"/>
      <c r="U16" s="215"/>
      <c r="V16" s="214"/>
      <c r="W16" s="215"/>
      <c r="X16" s="214"/>
      <c r="Y16" s="215"/>
      <c r="Z16" s="214"/>
      <c r="AA16" s="215"/>
      <c r="AB16" s="214"/>
      <c r="AC16" s="215"/>
      <c r="AD16" s="214"/>
      <c r="AE16" s="215"/>
      <c r="AF16" s="214"/>
      <c r="AG16" s="215"/>
      <c r="AH16" s="214"/>
      <c r="AI16" s="215"/>
      <c r="AJ16" s="214"/>
      <c r="AK16" s="215"/>
      <c r="AL16" s="214"/>
      <c r="AM16" s="215"/>
      <c r="AN16" s="214"/>
      <c r="AO16" s="215"/>
      <c r="AP16" s="214"/>
      <c r="AQ16" s="215"/>
      <c r="AR16" s="214"/>
      <c r="AS16" s="215"/>
      <c r="AT16" s="214"/>
      <c r="AU16" s="215"/>
      <c r="AV16" s="362"/>
      <c r="AW16" s="373"/>
      <c r="AX16" s="362"/>
      <c r="AY16" s="363"/>
      <c r="AZ16" s="243">
        <f t="shared" si="0"/>
        <v>0</v>
      </c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</row>
    <row r="17" spans="1:238" s="79" customFormat="1">
      <c r="A17" s="369">
        <v>42128</v>
      </c>
      <c r="B17" s="280" t="s">
        <v>268</v>
      </c>
      <c r="C17" s="284" t="s">
        <v>723</v>
      </c>
      <c r="D17" s="214"/>
      <c r="E17" s="215">
        <v>80</v>
      </c>
      <c r="F17" s="362"/>
      <c r="G17" s="363"/>
      <c r="H17" s="362"/>
      <c r="I17" s="363"/>
      <c r="J17" s="362"/>
      <c r="K17" s="215"/>
      <c r="L17" s="214"/>
      <c r="M17" s="215"/>
      <c r="N17" s="214"/>
      <c r="O17" s="215"/>
      <c r="P17" s="362">
        <v>80</v>
      </c>
      <c r="Q17" s="363"/>
      <c r="R17" s="362"/>
      <c r="S17" s="363"/>
      <c r="T17" s="362"/>
      <c r="U17" s="215"/>
      <c r="V17" s="214"/>
      <c r="W17" s="215"/>
      <c r="X17" s="214"/>
      <c r="Y17" s="215"/>
      <c r="Z17" s="214"/>
      <c r="AA17" s="215"/>
      <c r="AB17" s="214"/>
      <c r="AC17" s="215"/>
      <c r="AD17" s="214"/>
      <c r="AE17" s="215"/>
      <c r="AF17" s="214"/>
      <c r="AG17" s="215"/>
      <c r="AH17" s="214"/>
      <c r="AI17" s="215"/>
      <c r="AJ17" s="214"/>
      <c r="AK17" s="215"/>
      <c r="AL17" s="214"/>
      <c r="AM17" s="215"/>
      <c r="AN17" s="214"/>
      <c r="AO17" s="215"/>
      <c r="AP17" s="214"/>
      <c r="AQ17" s="215"/>
      <c r="AR17" s="214"/>
      <c r="AS17" s="215"/>
      <c r="AT17" s="214"/>
      <c r="AU17" s="215"/>
      <c r="AV17" s="362"/>
      <c r="AW17" s="373"/>
      <c r="AX17" s="362"/>
      <c r="AY17" s="363"/>
      <c r="AZ17" s="243">
        <f t="shared" si="0"/>
        <v>0</v>
      </c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</row>
    <row r="18" spans="1:238" s="385" customFormat="1">
      <c r="A18" s="234">
        <v>42136</v>
      </c>
      <c r="B18" s="257" t="s">
        <v>939</v>
      </c>
      <c r="C18" s="284" t="s">
        <v>724</v>
      </c>
      <c r="D18" s="214"/>
      <c r="E18" s="215">
        <v>826.46</v>
      </c>
      <c r="F18" s="214"/>
      <c r="G18" s="215"/>
      <c r="H18" s="214"/>
      <c r="I18" s="215"/>
      <c r="J18" s="214">
        <v>826.46</v>
      </c>
      <c r="K18" s="215"/>
      <c r="L18" s="214"/>
      <c r="M18" s="215"/>
      <c r="N18" s="214"/>
      <c r="O18" s="215"/>
      <c r="P18" s="214"/>
      <c r="Q18" s="215"/>
      <c r="R18" s="214"/>
      <c r="S18" s="215"/>
      <c r="T18" s="214"/>
      <c r="U18" s="215"/>
      <c r="V18" s="214"/>
      <c r="W18" s="215"/>
      <c r="X18" s="214"/>
      <c r="Y18" s="215"/>
      <c r="Z18" s="214"/>
      <c r="AA18" s="215"/>
      <c r="AB18" s="214"/>
      <c r="AC18" s="215"/>
      <c r="AD18" s="214"/>
      <c r="AE18" s="215"/>
      <c r="AF18" s="214"/>
      <c r="AG18" s="215"/>
      <c r="AH18" s="214"/>
      <c r="AI18" s="215"/>
      <c r="AJ18" s="214"/>
      <c r="AK18" s="215"/>
      <c r="AL18" s="214"/>
      <c r="AM18" s="215"/>
      <c r="AN18" s="214"/>
      <c r="AO18" s="215"/>
      <c r="AP18" s="214"/>
      <c r="AQ18" s="215"/>
      <c r="AR18" s="214"/>
      <c r="AS18" s="215"/>
      <c r="AT18" s="214"/>
      <c r="AU18" s="215"/>
      <c r="AV18" s="214"/>
      <c r="AW18" s="319"/>
      <c r="AX18" s="214"/>
      <c r="AY18" s="215"/>
      <c r="AZ18" s="384">
        <f t="shared" si="0"/>
        <v>0</v>
      </c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</row>
    <row r="19" spans="1:238" s="79" customFormat="1">
      <c r="A19" s="234">
        <v>42153</v>
      </c>
      <c r="B19" s="280" t="s">
        <v>873</v>
      </c>
      <c r="C19" s="284" t="s">
        <v>725</v>
      </c>
      <c r="D19" s="214"/>
      <c r="E19" s="215">
        <v>2500</v>
      </c>
      <c r="F19" s="362"/>
      <c r="G19" s="363"/>
      <c r="H19" s="362"/>
      <c r="I19" s="363"/>
      <c r="J19" s="362"/>
      <c r="K19" s="215"/>
      <c r="L19" s="214"/>
      <c r="M19" s="215"/>
      <c r="N19" s="214"/>
      <c r="O19" s="215"/>
      <c r="P19" s="362"/>
      <c r="Q19" s="363"/>
      <c r="R19" s="362">
        <v>2500</v>
      </c>
      <c r="S19" s="363"/>
      <c r="T19" s="362"/>
      <c r="U19" s="215"/>
      <c r="V19" s="214"/>
      <c r="W19" s="215"/>
      <c r="X19" s="214"/>
      <c r="Y19" s="215"/>
      <c r="Z19" s="214"/>
      <c r="AA19" s="215"/>
      <c r="AB19" s="214"/>
      <c r="AC19" s="215"/>
      <c r="AD19" s="214"/>
      <c r="AE19" s="215"/>
      <c r="AF19" s="214"/>
      <c r="AG19" s="215"/>
      <c r="AH19" s="214"/>
      <c r="AI19" s="215"/>
      <c r="AJ19" s="214"/>
      <c r="AK19" s="215"/>
      <c r="AL19" s="214"/>
      <c r="AM19" s="215"/>
      <c r="AN19" s="214"/>
      <c r="AO19" s="215"/>
      <c r="AP19" s="214"/>
      <c r="AQ19" s="215"/>
      <c r="AR19" s="214"/>
      <c r="AS19" s="215"/>
      <c r="AT19" s="214"/>
      <c r="AU19" s="215"/>
      <c r="AV19" s="362"/>
      <c r="AW19" s="373"/>
      <c r="AX19" s="362"/>
      <c r="AY19" s="363"/>
      <c r="AZ19" s="243">
        <f t="shared" si="0"/>
        <v>0</v>
      </c>
    </row>
    <row r="20" spans="1:238" s="79" customFormat="1">
      <c r="A20" s="234">
        <v>42156</v>
      </c>
      <c r="B20" s="280" t="s">
        <v>268</v>
      </c>
      <c r="C20" s="318" t="s">
        <v>726</v>
      </c>
      <c r="D20" s="214"/>
      <c r="E20" s="215">
        <v>89</v>
      </c>
      <c r="F20" s="362"/>
      <c r="G20" s="363"/>
      <c r="H20" s="362"/>
      <c r="I20" s="363"/>
      <c r="J20" s="362"/>
      <c r="K20" s="215"/>
      <c r="L20" s="214"/>
      <c r="M20" s="215"/>
      <c r="N20" s="214"/>
      <c r="O20" s="215"/>
      <c r="P20" s="362">
        <v>89</v>
      </c>
      <c r="Q20" s="363"/>
      <c r="R20" s="362"/>
      <c r="S20" s="363"/>
      <c r="T20" s="362"/>
      <c r="U20" s="215"/>
      <c r="V20" s="214"/>
      <c r="W20" s="215"/>
      <c r="X20" s="214"/>
      <c r="Y20" s="215"/>
      <c r="Z20" s="214"/>
      <c r="AA20" s="215"/>
      <c r="AB20" s="214"/>
      <c r="AC20" s="215"/>
      <c r="AD20" s="214"/>
      <c r="AE20" s="215"/>
      <c r="AF20" s="214"/>
      <c r="AG20" s="215"/>
      <c r="AH20" s="214"/>
      <c r="AI20" s="215"/>
      <c r="AJ20" s="214"/>
      <c r="AK20" s="215"/>
      <c r="AL20" s="214"/>
      <c r="AM20" s="215"/>
      <c r="AN20" s="214"/>
      <c r="AO20" s="215"/>
      <c r="AP20" s="214"/>
      <c r="AQ20" s="215"/>
      <c r="AR20" s="214"/>
      <c r="AS20" s="215"/>
      <c r="AT20" s="214"/>
      <c r="AU20" s="215"/>
      <c r="AV20" s="362"/>
      <c r="AW20" s="373"/>
      <c r="AX20" s="362"/>
      <c r="AY20" s="363"/>
      <c r="AZ20" s="243">
        <f t="shared" si="0"/>
        <v>0</v>
      </c>
    </row>
    <row r="21" spans="1:238" s="385" customFormat="1">
      <c r="A21" s="261">
        <v>42177</v>
      </c>
      <c r="B21" s="280" t="s">
        <v>940</v>
      </c>
      <c r="C21" s="284" t="s">
        <v>727</v>
      </c>
      <c r="D21" s="214"/>
      <c r="E21" s="215">
        <v>9083</v>
      </c>
      <c r="F21" s="214"/>
      <c r="G21" s="215"/>
      <c r="H21" s="214"/>
      <c r="I21" s="215"/>
      <c r="J21" s="215"/>
      <c r="K21" s="215"/>
      <c r="L21" s="214"/>
      <c r="M21" s="215"/>
      <c r="N21" s="214"/>
      <c r="O21" s="215"/>
      <c r="P21" s="214"/>
      <c r="Q21" s="215"/>
      <c r="R21" s="214"/>
      <c r="S21" s="215"/>
      <c r="T21" s="214"/>
      <c r="U21" s="215"/>
      <c r="V21" s="214"/>
      <c r="W21" s="215"/>
      <c r="X21" s="214"/>
      <c r="Y21" s="215"/>
      <c r="Z21" s="214">
        <v>9083</v>
      </c>
      <c r="AA21" s="215"/>
      <c r="AB21" s="214"/>
      <c r="AC21" s="215"/>
      <c r="AD21" s="214"/>
      <c r="AE21" s="215"/>
      <c r="AF21" s="214"/>
      <c r="AG21" s="215"/>
      <c r="AH21" s="214"/>
      <c r="AI21" s="215"/>
      <c r="AJ21" s="214"/>
      <c r="AK21" s="215"/>
      <c r="AL21" s="214"/>
      <c r="AM21" s="215"/>
      <c r="AN21" s="214"/>
      <c r="AO21" s="215"/>
      <c r="AP21" s="214"/>
      <c r="AQ21" s="215"/>
      <c r="AR21" s="214"/>
      <c r="AS21" s="215"/>
      <c r="AT21" s="214"/>
      <c r="AU21" s="215"/>
      <c r="AV21" s="214"/>
      <c r="AW21" s="319"/>
      <c r="AX21" s="214"/>
      <c r="AY21" s="215"/>
      <c r="AZ21" s="384">
        <f t="shared" si="0"/>
        <v>0</v>
      </c>
    </row>
    <row r="22" spans="1:238" s="79" customFormat="1">
      <c r="A22" s="261">
        <v>42185</v>
      </c>
      <c r="B22" s="280" t="s">
        <v>941</v>
      </c>
      <c r="C22" s="284" t="s">
        <v>728</v>
      </c>
      <c r="D22" s="214">
        <f>1255+1255+6135.16+18099+1255+2510+14261.3</f>
        <v>44770.46</v>
      </c>
      <c r="E22" s="215"/>
      <c r="F22" s="362"/>
      <c r="G22" s="363"/>
      <c r="H22" s="362"/>
      <c r="I22" s="363"/>
      <c r="J22" s="362"/>
      <c r="K22" s="215"/>
      <c r="L22" s="214"/>
      <c r="M22" s="215"/>
      <c r="N22" s="214"/>
      <c r="O22" s="215"/>
      <c r="P22" s="362"/>
      <c r="Q22" s="363"/>
      <c r="R22" s="362"/>
      <c r="S22" s="363"/>
      <c r="T22" s="362"/>
      <c r="U22" s="215"/>
      <c r="V22" s="214"/>
      <c r="W22" s="215"/>
      <c r="X22" s="214"/>
      <c r="Y22" s="215"/>
      <c r="Z22" s="214"/>
      <c r="AA22" s="215"/>
      <c r="AB22" s="214"/>
      <c r="AC22" s="215"/>
      <c r="AD22" s="214"/>
      <c r="AE22" s="215"/>
      <c r="AF22" s="214"/>
      <c r="AG22" s="215"/>
      <c r="AH22" s="214"/>
      <c r="AI22" s="215"/>
      <c r="AJ22" s="214"/>
      <c r="AK22" s="215"/>
      <c r="AL22" s="214"/>
      <c r="AM22" s="215"/>
      <c r="AN22" s="214"/>
      <c r="AO22" s="215"/>
      <c r="AP22" s="214"/>
      <c r="AQ22" s="215"/>
      <c r="AR22" s="214"/>
      <c r="AS22" s="215"/>
      <c r="AT22" s="214"/>
      <c r="AU22" s="215"/>
      <c r="AV22" s="362"/>
      <c r="AW22" s="373">
        <v>44770.46</v>
      </c>
      <c r="AX22" s="362"/>
      <c r="AY22" s="363"/>
      <c r="AZ22" s="243">
        <f t="shared" si="0"/>
        <v>0</v>
      </c>
      <c r="BB22" s="277" t="s">
        <v>942</v>
      </c>
    </row>
    <row r="23" spans="1:238" s="79" customFormat="1">
      <c r="A23" s="261">
        <v>42215</v>
      </c>
      <c r="B23" s="280" t="s">
        <v>941</v>
      </c>
      <c r="C23" s="285" t="s">
        <v>729</v>
      </c>
      <c r="D23" s="214">
        <f>1308+8807.96+1255+1255+2510+10070+7606+12583.16</f>
        <v>45395.119999999995</v>
      </c>
      <c r="E23" s="215"/>
      <c r="F23" s="362"/>
      <c r="G23" s="363"/>
      <c r="H23" s="362"/>
      <c r="I23" s="363"/>
      <c r="J23" s="362"/>
      <c r="K23" s="215"/>
      <c r="L23" s="214"/>
      <c r="M23" s="215"/>
      <c r="N23" s="214"/>
      <c r="O23" s="215"/>
      <c r="P23" s="362"/>
      <c r="Q23" s="363"/>
      <c r="R23" s="362"/>
      <c r="S23" s="363"/>
      <c r="T23" s="362"/>
      <c r="U23" s="215"/>
      <c r="V23" s="214"/>
      <c r="W23" s="215"/>
      <c r="X23" s="214"/>
      <c r="Y23" s="215"/>
      <c r="Z23" s="214"/>
      <c r="AA23" s="215"/>
      <c r="AB23" s="214"/>
      <c r="AC23" s="215"/>
      <c r="AD23" s="214"/>
      <c r="AE23" s="215"/>
      <c r="AF23" s="214"/>
      <c r="AG23" s="215"/>
      <c r="AH23" s="214"/>
      <c r="AI23" s="215"/>
      <c r="AJ23" s="214"/>
      <c r="AK23" s="215"/>
      <c r="AL23" s="214"/>
      <c r="AM23" s="215"/>
      <c r="AN23" s="214"/>
      <c r="AO23" s="215"/>
      <c r="AP23" s="214"/>
      <c r="AQ23" s="215"/>
      <c r="AR23" s="214"/>
      <c r="AS23" s="215"/>
      <c r="AT23" s="214"/>
      <c r="AU23" s="215"/>
      <c r="AV23" s="362"/>
      <c r="AW23" s="373">
        <v>45395.12</v>
      </c>
      <c r="AX23" s="362"/>
      <c r="AY23" s="363"/>
      <c r="AZ23" s="243">
        <f t="shared" si="0"/>
        <v>-7.2759576141834259E-12</v>
      </c>
      <c r="BB23" s="277" t="s">
        <v>942</v>
      </c>
    </row>
    <row r="24" spans="1:238" s="79" customFormat="1">
      <c r="A24" s="261">
        <v>42187</v>
      </c>
      <c r="B24" s="280" t="s">
        <v>268</v>
      </c>
      <c r="C24" s="284" t="s">
        <v>730</v>
      </c>
      <c r="D24" s="214"/>
      <c r="E24" s="215">
        <v>81.25</v>
      </c>
      <c r="F24" s="362"/>
      <c r="G24" s="363"/>
      <c r="H24" s="362"/>
      <c r="I24" s="363"/>
      <c r="J24" s="362"/>
      <c r="K24" s="215"/>
      <c r="L24" s="214"/>
      <c r="M24" s="215"/>
      <c r="N24" s="214"/>
      <c r="O24" s="215"/>
      <c r="P24" s="362">
        <v>81.25</v>
      </c>
      <c r="Q24" s="363"/>
      <c r="R24" s="362"/>
      <c r="S24" s="363"/>
      <c r="T24" s="362"/>
      <c r="U24" s="215"/>
      <c r="V24" s="214"/>
      <c r="W24" s="215"/>
      <c r="X24" s="214"/>
      <c r="Y24" s="215"/>
      <c r="Z24" s="214"/>
      <c r="AA24" s="215"/>
      <c r="AB24" s="214"/>
      <c r="AC24" s="215"/>
      <c r="AD24" s="214"/>
      <c r="AE24" s="215"/>
      <c r="AF24" s="214"/>
      <c r="AG24" s="215"/>
      <c r="AH24" s="214"/>
      <c r="AI24" s="215"/>
      <c r="AJ24" s="214"/>
      <c r="AK24" s="215"/>
      <c r="AL24" s="214"/>
      <c r="AM24" s="215"/>
      <c r="AN24" s="214"/>
      <c r="AO24" s="215"/>
      <c r="AP24" s="214"/>
      <c r="AQ24" s="215"/>
      <c r="AR24" s="214"/>
      <c r="AS24" s="215"/>
      <c r="AT24" s="214"/>
      <c r="AU24" s="215"/>
      <c r="AV24" s="214"/>
      <c r="AW24" s="319"/>
      <c r="AX24" s="214"/>
      <c r="AY24" s="215"/>
      <c r="AZ24" s="243">
        <f t="shared" si="0"/>
        <v>0</v>
      </c>
    </row>
    <row r="25" spans="1:238" s="79" customFormat="1">
      <c r="A25" s="234">
        <v>42219</v>
      </c>
      <c r="B25" s="280" t="s">
        <v>268</v>
      </c>
      <c r="C25" s="285" t="s">
        <v>731</v>
      </c>
      <c r="D25" s="214"/>
      <c r="E25" s="215">
        <v>84.5</v>
      </c>
      <c r="F25" s="214"/>
      <c r="G25" s="215"/>
      <c r="H25" s="214"/>
      <c r="I25" s="215"/>
      <c r="J25" s="214"/>
      <c r="K25" s="215"/>
      <c r="L25" s="214"/>
      <c r="M25" s="215"/>
      <c r="N25" s="214"/>
      <c r="O25" s="215"/>
      <c r="P25" s="362">
        <v>84.5</v>
      </c>
      <c r="Q25" s="363"/>
      <c r="R25" s="362"/>
      <c r="S25" s="363"/>
      <c r="T25" s="362"/>
      <c r="U25" s="215"/>
      <c r="V25" s="214"/>
      <c r="W25" s="215"/>
      <c r="X25" s="214"/>
      <c r="Y25" s="215"/>
      <c r="Z25" s="214"/>
      <c r="AA25" s="215"/>
      <c r="AB25" s="321"/>
      <c r="AC25" s="215"/>
      <c r="AD25" s="214"/>
      <c r="AE25" s="215"/>
      <c r="AF25" s="214"/>
      <c r="AG25" s="215"/>
      <c r="AH25" s="214"/>
      <c r="AI25" s="215"/>
      <c r="AJ25" s="214"/>
      <c r="AK25" s="215"/>
      <c r="AL25" s="214"/>
      <c r="AM25" s="215"/>
      <c r="AN25" s="214"/>
      <c r="AO25" s="215"/>
      <c r="AP25" s="214"/>
      <c r="AQ25" s="215"/>
      <c r="AR25" s="214"/>
      <c r="AS25" s="215"/>
      <c r="AT25" s="214"/>
      <c r="AU25" s="215"/>
      <c r="AV25" s="214"/>
      <c r="AW25" s="319"/>
      <c r="AX25" s="214"/>
      <c r="AY25" s="215"/>
      <c r="AZ25" s="243">
        <f t="shared" si="0"/>
        <v>0</v>
      </c>
    </row>
    <row r="26" spans="1:238" s="79" customFormat="1">
      <c r="A26" s="234">
        <v>42243</v>
      </c>
      <c r="B26" s="280" t="s">
        <v>941</v>
      </c>
      <c r="C26" s="285" t="s">
        <v>732</v>
      </c>
      <c r="D26" s="214">
        <f>2518+12584</f>
        <v>15102</v>
      </c>
      <c r="E26" s="215"/>
      <c r="F26" s="214"/>
      <c r="G26" s="215"/>
      <c r="H26" s="214"/>
      <c r="I26" s="215"/>
      <c r="J26" s="214"/>
      <c r="K26" s="215"/>
      <c r="L26" s="214"/>
      <c r="M26" s="215"/>
      <c r="N26" s="214"/>
      <c r="O26" s="215"/>
      <c r="P26" s="362"/>
      <c r="Q26" s="363"/>
      <c r="R26" s="362"/>
      <c r="S26" s="363"/>
      <c r="T26" s="362"/>
      <c r="U26" s="215"/>
      <c r="V26" s="214"/>
      <c r="W26" s="215"/>
      <c r="X26" s="214"/>
      <c r="Y26" s="215"/>
      <c r="Z26" s="214"/>
      <c r="AA26" s="215"/>
      <c r="AB26" s="214"/>
      <c r="AC26" s="215"/>
      <c r="AD26" s="214"/>
      <c r="AE26" s="215"/>
      <c r="AF26" s="214"/>
      <c r="AG26" s="215"/>
      <c r="AH26" s="214"/>
      <c r="AI26" s="215"/>
      <c r="AJ26" s="214"/>
      <c r="AK26" s="215"/>
      <c r="AL26" s="214"/>
      <c r="AM26" s="215"/>
      <c r="AN26" s="214"/>
      <c r="AO26" s="215"/>
      <c r="AP26" s="214"/>
      <c r="AQ26" s="215"/>
      <c r="AR26" s="214"/>
      <c r="AS26" s="215"/>
      <c r="AT26" s="214"/>
      <c r="AU26" s="215"/>
      <c r="AV26" s="214"/>
      <c r="AW26" s="319">
        <v>15102</v>
      </c>
      <c r="AX26" s="214"/>
      <c r="AY26" s="215"/>
      <c r="AZ26" s="243">
        <f>+D26-E26+F26-G26+H26-I26+J26-K26+L26-M26+N26-O26+P26-Q26+R26-S26+T26-U26+V26-W26+X26-Y26+Z26-AA26+AB26-AC26+AD26-AE26+AF26-AG26+AH26-AI26+AJ26-AK26+AL26-AM26+AN26-AO26+AP26-AQ26+AR26-AS26+AT26-AU26+AV26-AW26+AX26-AY26</f>
        <v>0</v>
      </c>
      <c r="BB26" s="277" t="s">
        <v>942</v>
      </c>
    </row>
    <row r="27" spans="1:238" s="79" customFormat="1">
      <c r="A27" s="261">
        <v>42243</v>
      </c>
      <c r="B27" s="280" t="s">
        <v>941</v>
      </c>
      <c r="C27" s="284" t="s">
        <v>732</v>
      </c>
      <c r="D27" s="214"/>
      <c r="E27" s="215">
        <v>105383</v>
      </c>
      <c r="F27" s="214"/>
      <c r="G27" s="215"/>
      <c r="H27" s="214"/>
      <c r="I27" s="215"/>
      <c r="J27" s="214"/>
      <c r="K27" s="215"/>
      <c r="L27" s="214"/>
      <c r="M27" s="215"/>
      <c r="N27" s="214"/>
      <c r="O27" s="215"/>
      <c r="P27" s="214"/>
      <c r="Q27" s="215"/>
      <c r="R27" s="214"/>
      <c r="S27" s="215"/>
      <c r="T27" s="214"/>
      <c r="U27" s="215"/>
      <c r="V27" s="214"/>
      <c r="W27" s="215"/>
      <c r="X27" s="214"/>
      <c r="Y27" s="215"/>
      <c r="Z27" s="214"/>
      <c r="AA27" s="319"/>
      <c r="AB27" s="214"/>
      <c r="AC27" s="320"/>
      <c r="AD27" s="214"/>
      <c r="AE27" s="215"/>
      <c r="AF27" s="214"/>
      <c r="AG27" s="215"/>
      <c r="AH27" s="214"/>
      <c r="AI27" s="215"/>
      <c r="AJ27" s="214"/>
      <c r="AK27" s="215"/>
      <c r="AL27" s="214"/>
      <c r="AM27" s="215"/>
      <c r="AN27" s="214"/>
      <c r="AO27" s="215"/>
      <c r="AP27" s="214"/>
      <c r="AQ27" s="215"/>
      <c r="AR27" s="214"/>
      <c r="AS27" s="215"/>
      <c r="AT27" s="214"/>
      <c r="AU27" s="215"/>
      <c r="AV27" s="214">
        <v>105383</v>
      </c>
      <c r="AW27" s="319"/>
      <c r="AX27" s="214"/>
      <c r="AY27" s="215"/>
      <c r="AZ27" s="243">
        <f t="shared" si="0"/>
        <v>0</v>
      </c>
      <c r="BB27" s="277" t="s">
        <v>942</v>
      </c>
    </row>
    <row r="28" spans="1:238" s="79" customFormat="1">
      <c r="A28" s="234">
        <v>42230</v>
      </c>
      <c r="B28" s="257" t="s">
        <v>937</v>
      </c>
      <c r="C28" s="284" t="s">
        <v>732</v>
      </c>
      <c r="D28" s="214">
        <v>200</v>
      </c>
      <c r="E28" s="215"/>
      <c r="F28" s="214"/>
      <c r="G28" s="215"/>
      <c r="H28" s="214"/>
      <c r="I28" s="215"/>
      <c r="J28" s="214"/>
      <c r="K28" s="215"/>
      <c r="L28" s="214"/>
      <c r="M28" s="215"/>
      <c r="N28" s="214"/>
      <c r="O28" s="215"/>
      <c r="P28" s="214"/>
      <c r="Q28" s="215"/>
      <c r="R28" s="214"/>
      <c r="S28" s="215"/>
      <c r="T28" s="214"/>
      <c r="U28" s="215"/>
      <c r="V28" s="214"/>
      <c r="W28" s="215"/>
      <c r="X28" s="214"/>
      <c r="Y28" s="215"/>
      <c r="Z28" s="214"/>
      <c r="AA28" s="215"/>
      <c r="AB28" s="214"/>
      <c r="AC28" s="215"/>
      <c r="AD28" s="214"/>
      <c r="AE28" s="215"/>
      <c r="AF28" s="214"/>
      <c r="AG28" s="215"/>
      <c r="AH28" s="214"/>
      <c r="AI28" s="215"/>
      <c r="AJ28" s="214"/>
      <c r="AK28" s="215"/>
      <c r="AL28" s="214"/>
      <c r="AM28" s="215"/>
      <c r="AN28" s="214"/>
      <c r="AO28" s="215"/>
      <c r="AP28" s="214"/>
      <c r="AQ28" s="215"/>
      <c r="AR28" s="214"/>
      <c r="AS28" s="215"/>
      <c r="AT28" s="214"/>
      <c r="AU28" s="215"/>
      <c r="AV28" s="214"/>
      <c r="AW28" s="319"/>
      <c r="AX28" s="214"/>
      <c r="AY28" s="215">
        <v>200</v>
      </c>
      <c r="AZ28" s="243">
        <f>+D28-E28+F28-G28+H28-I28+J28-K28+L28-M28+N28-O28+P28-Q28+R28-S28+T28-U28+V28-W28+X28-Y28+Z28-AA28+AB28-AC28+AD28-AE28+AF28-AG28+AH28-AI28+AJ28-AK28+AL28-AM28+AN28-AO28+AP28-AQ28+AR28-AS28+AT28-AU28+AV28-AW28+AX28-AY28</f>
        <v>0</v>
      </c>
    </row>
    <row r="29" spans="1:238" s="79" customFormat="1">
      <c r="A29" s="234">
        <v>42248</v>
      </c>
      <c r="B29" s="280" t="s">
        <v>268</v>
      </c>
      <c r="C29" s="318" t="s">
        <v>733</v>
      </c>
      <c r="D29" s="214"/>
      <c r="E29" s="215">
        <v>81.25</v>
      </c>
      <c r="F29" s="214"/>
      <c r="G29" s="215"/>
      <c r="H29" s="214"/>
      <c r="I29" s="215"/>
      <c r="J29" s="214"/>
      <c r="K29" s="215"/>
      <c r="L29" s="214"/>
      <c r="M29" s="215"/>
      <c r="N29" s="214"/>
      <c r="O29" s="215"/>
      <c r="P29" s="214">
        <v>81.25</v>
      </c>
      <c r="Q29" s="215"/>
      <c r="R29" s="214"/>
      <c r="S29" s="215"/>
      <c r="T29" s="214"/>
      <c r="U29" s="215"/>
      <c r="V29" s="214"/>
      <c r="W29" s="215"/>
      <c r="X29" s="214"/>
      <c r="Y29" s="215"/>
      <c r="Z29" s="214"/>
      <c r="AA29" s="215"/>
      <c r="AB29" s="322"/>
      <c r="AC29" s="215"/>
      <c r="AD29" s="214"/>
      <c r="AE29" s="215"/>
      <c r="AF29" s="214"/>
      <c r="AG29" s="215"/>
      <c r="AH29" s="214"/>
      <c r="AI29" s="215"/>
      <c r="AJ29" s="214"/>
      <c r="AK29" s="215"/>
      <c r="AL29" s="214"/>
      <c r="AM29" s="215"/>
      <c r="AN29" s="214"/>
      <c r="AO29" s="215"/>
      <c r="AP29" s="214"/>
      <c r="AQ29" s="215"/>
      <c r="AR29" s="214"/>
      <c r="AS29" s="215"/>
      <c r="AT29" s="214"/>
      <c r="AU29" s="215"/>
      <c r="AV29" s="214"/>
      <c r="AW29" s="319"/>
      <c r="AX29" s="214"/>
      <c r="AY29" s="215"/>
      <c r="AZ29" s="243">
        <f t="shared" si="0"/>
        <v>0</v>
      </c>
      <c r="BB29" s="277"/>
    </row>
    <row r="30" spans="1:238" s="79" customFormat="1">
      <c r="A30" s="234">
        <v>42277</v>
      </c>
      <c r="B30" s="280" t="s">
        <v>943</v>
      </c>
      <c r="C30" s="284" t="s">
        <v>734</v>
      </c>
      <c r="D30" s="214">
        <v>600</v>
      </c>
      <c r="E30" s="215"/>
      <c r="F30" s="214"/>
      <c r="G30" s="215"/>
      <c r="H30" s="214"/>
      <c r="I30" s="215"/>
      <c r="J30" s="214"/>
      <c r="K30" s="215"/>
      <c r="L30" s="214"/>
      <c r="M30" s="215"/>
      <c r="N30" s="214"/>
      <c r="O30" s="215"/>
      <c r="P30" s="214"/>
      <c r="Q30" s="215"/>
      <c r="R30" s="214"/>
      <c r="S30" s="215"/>
      <c r="T30" s="214"/>
      <c r="U30" s="215"/>
      <c r="V30" s="214"/>
      <c r="W30" s="215"/>
      <c r="X30" s="214"/>
      <c r="Y30" s="215"/>
      <c r="Z30" s="214"/>
      <c r="AA30" s="215"/>
      <c r="AB30" s="214"/>
      <c r="AC30" s="215">
        <v>600</v>
      </c>
      <c r="AD30" s="214"/>
      <c r="AE30" s="215"/>
      <c r="AF30" s="214"/>
      <c r="AG30" s="215"/>
      <c r="AH30" s="214"/>
      <c r="AI30" s="215"/>
      <c r="AJ30" s="214"/>
      <c r="AK30" s="215"/>
      <c r="AL30" s="214"/>
      <c r="AM30" s="215"/>
      <c r="AN30" s="214"/>
      <c r="AO30" s="215"/>
      <c r="AP30" s="214"/>
      <c r="AQ30" s="215"/>
      <c r="AR30" s="214"/>
      <c r="AS30" s="215"/>
      <c r="AT30" s="214"/>
      <c r="AU30" s="215"/>
      <c r="AV30" s="214"/>
      <c r="AW30" s="319"/>
      <c r="AX30" s="214"/>
      <c r="AY30" s="215"/>
      <c r="AZ30" s="243">
        <f t="shared" si="0"/>
        <v>0</v>
      </c>
    </row>
    <row r="31" spans="1:238" s="79" customFormat="1">
      <c r="A31" s="234">
        <v>42277</v>
      </c>
      <c r="B31" s="262" t="s">
        <v>944</v>
      </c>
      <c r="C31" s="318" t="s">
        <v>735</v>
      </c>
      <c r="D31" s="214"/>
      <c r="E31" s="215">
        <v>1324</v>
      </c>
      <c r="F31" s="214"/>
      <c r="G31" s="215"/>
      <c r="H31" s="214"/>
      <c r="I31" s="215"/>
      <c r="J31" s="214"/>
      <c r="K31" s="215"/>
      <c r="L31" s="214">
        <v>1324</v>
      </c>
      <c r="M31" s="215"/>
      <c r="N31" s="214"/>
      <c r="O31" s="215"/>
      <c r="P31" s="214"/>
      <c r="Q31" s="215"/>
      <c r="R31" s="214"/>
      <c r="S31" s="215"/>
      <c r="T31" s="214"/>
      <c r="U31" s="215"/>
      <c r="V31" s="214"/>
      <c r="W31" s="215"/>
      <c r="X31" s="214"/>
      <c r="Y31" s="215"/>
      <c r="Z31" s="214"/>
      <c r="AA31" s="215"/>
      <c r="AB31" s="214"/>
      <c r="AC31" s="215"/>
      <c r="AD31" s="214"/>
      <c r="AE31" s="215"/>
      <c r="AF31" s="214"/>
      <c r="AG31" s="215"/>
      <c r="AH31" s="214"/>
      <c r="AI31" s="215"/>
      <c r="AJ31" s="214"/>
      <c r="AK31" s="215"/>
      <c r="AL31" s="214"/>
      <c r="AM31" s="215"/>
      <c r="AN31" s="214"/>
      <c r="AO31" s="215"/>
      <c r="AP31" s="214"/>
      <c r="AQ31" s="215"/>
      <c r="AR31" s="214"/>
      <c r="AS31" s="215"/>
      <c r="AT31" s="214"/>
      <c r="AU31" s="215"/>
      <c r="AV31" s="214"/>
      <c r="AW31" s="319"/>
      <c r="AX31" s="214"/>
      <c r="AY31" s="215"/>
      <c r="AZ31" s="243">
        <f t="shared" si="0"/>
        <v>0</v>
      </c>
      <c r="BB31" s="277"/>
    </row>
    <row r="32" spans="1:238" s="385" customFormat="1">
      <c r="A32" s="234">
        <v>42277</v>
      </c>
      <c r="B32" s="280" t="s">
        <v>945</v>
      </c>
      <c r="C32" s="284" t="s">
        <v>736</v>
      </c>
      <c r="D32" s="214"/>
      <c r="E32" s="215">
        <v>5000</v>
      </c>
      <c r="F32" s="214"/>
      <c r="G32" s="215"/>
      <c r="H32" s="214"/>
      <c r="I32" s="215"/>
      <c r="J32" s="214"/>
      <c r="K32" s="215"/>
      <c r="L32" s="214"/>
      <c r="M32" s="215"/>
      <c r="N32" s="214"/>
      <c r="O32" s="215"/>
      <c r="P32" s="214"/>
      <c r="Q32" s="215"/>
      <c r="R32" s="214"/>
      <c r="S32" s="215"/>
      <c r="T32" s="214"/>
      <c r="U32" s="215"/>
      <c r="V32" s="214"/>
      <c r="W32" s="215"/>
      <c r="X32" s="214"/>
      <c r="Y32" s="215"/>
      <c r="Z32" s="214">
        <v>5000</v>
      </c>
      <c r="AA32" s="215"/>
      <c r="AB32" s="214"/>
      <c r="AC32" s="215"/>
      <c r="AD32" s="214"/>
      <c r="AE32" s="215"/>
      <c r="AF32" s="214"/>
      <c r="AG32" s="215"/>
      <c r="AH32" s="214"/>
      <c r="AI32" s="215"/>
      <c r="AJ32" s="214"/>
      <c r="AK32" s="215"/>
      <c r="AL32" s="214"/>
      <c r="AM32" s="215"/>
      <c r="AN32" s="214"/>
      <c r="AO32" s="215"/>
      <c r="AP32" s="214"/>
      <c r="AQ32" s="215"/>
      <c r="AR32" s="214"/>
      <c r="AS32" s="215"/>
      <c r="AT32" s="214"/>
      <c r="AU32" s="215"/>
      <c r="AV32" s="214"/>
      <c r="AW32" s="319"/>
      <c r="AX32" s="214"/>
      <c r="AY32" s="215"/>
      <c r="AZ32" s="384">
        <f t="shared" si="0"/>
        <v>0</v>
      </c>
      <c r="BB32" s="140"/>
    </row>
    <row r="33" spans="1:54" s="385" customFormat="1">
      <c r="A33" s="369">
        <v>42205</v>
      </c>
      <c r="B33" s="257" t="s">
        <v>946</v>
      </c>
      <c r="C33" s="284" t="s">
        <v>737</v>
      </c>
      <c r="D33" s="214"/>
      <c r="E33" s="215">
        <v>542.9</v>
      </c>
      <c r="F33" s="214"/>
      <c r="G33" s="215"/>
      <c r="H33" s="214"/>
      <c r="I33" s="215"/>
      <c r="J33" s="214">
        <v>542.9</v>
      </c>
      <c r="K33" s="215"/>
      <c r="L33" s="214"/>
      <c r="M33" s="215"/>
      <c r="N33" s="214"/>
      <c r="O33" s="215"/>
      <c r="P33" s="214"/>
      <c r="Q33" s="215"/>
      <c r="R33" s="214"/>
      <c r="S33" s="215"/>
      <c r="T33" s="214"/>
      <c r="U33" s="215"/>
      <c r="V33" s="214"/>
      <c r="W33" s="215"/>
      <c r="X33" s="214"/>
      <c r="Y33" s="215"/>
      <c r="Z33" s="214"/>
      <c r="AA33" s="215"/>
      <c r="AB33" s="214"/>
      <c r="AC33" s="215"/>
      <c r="AD33" s="214"/>
      <c r="AE33" s="215"/>
      <c r="AF33" s="214"/>
      <c r="AG33" s="215"/>
      <c r="AH33" s="214"/>
      <c r="AI33" s="215"/>
      <c r="AJ33" s="214"/>
      <c r="AK33" s="215"/>
      <c r="AL33" s="214"/>
      <c r="AM33" s="215"/>
      <c r="AN33" s="214"/>
      <c r="AO33" s="215"/>
      <c r="AP33" s="214"/>
      <c r="AQ33" s="215"/>
      <c r="AR33" s="214"/>
      <c r="AS33" s="215"/>
      <c r="AT33" s="214"/>
      <c r="AU33" s="215"/>
      <c r="AV33" s="214"/>
      <c r="AW33" s="319"/>
      <c r="AX33" s="214"/>
      <c r="AY33" s="215"/>
      <c r="AZ33" s="384">
        <f t="shared" si="0"/>
        <v>0</v>
      </c>
    </row>
    <row r="34" spans="1:54" s="79" customFormat="1">
      <c r="A34" s="234">
        <v>42072</v>
      </c>
      <c r="B34" s="280" t="s">
        <v>947</v>
      </c>
      <c r="C34" s="284" t="s">
        <v>738</v>
      </c>
      <c r="D34" s="214"/>
      <c r="E34" s="215">
        <v>5000</v>
      </c>
      <c r="F34" s="214">
        <v>5000</v>
      </c>
      <c r="G34" s="215"/>
      <c r="H34" s="214"/>
      <c r="I34" s="215"/>
      <c r="J34" s="214"/>
      <c r="K34" s="215"/>
      <c r="L34" s="214"/>
      <c r="M34" s="215"/>
      <c r="N34" s="214"/>
      <c r="O34" s="215"/>
      <c r="P34" s="214"/>
      <c r="Q34" s="215"/>
      <c r="R34" s="214"/>
      <c r="S34" s="215"/>
      <c r="T34" s="214"/>
      <c r="U34" s="215"/>
      <c r="V34" s="214"/>
      <c r="W34" s="215"/>
      <c r="X34" s="214"/>
      <c r="Y34" s="215"/>
      <c r="Z34" s="214"/>
      <c r="AA34" s="215"/>
      <c r="AB34" s="214"/>
      <c r="AC34" s="215"/>
      <c r="AD34" s="274"/>
      <c r="AE34" s="215"/>
      <c r="AF34" s="214"/>
      <c r="AG34" s="215"/>
      <c r="AH34" s="214"/>
      <c r="AI34" s="215"/>
      <c r="AJ34" s="214"/>
      <c r="AK34" s="215"/>
      <c r="AL34" s="214"/>
      <c r="AM34" s="215"/>
      <c r="AN34" s="214"/>
      <c r="AO34" s="215"/>
      <c r="AP34" s="214"/>
      <c r="AQ34" s="215"/>
      <c r="AR34" s="214"/>
      <c r="AS34" s="215"/>
      <c r="AT34" s="214"/>
      <c r="AU34" s="215"/>
      <c r="AV34" s="214"/>
      <c r="AW34" s="319"/>
      <c r="AX34" s="214"/>
      <c r="AY34" s="215"/>
      <c r="AZ34" s="243">
        <f t="shared" si="0"/>
        <v>0</v>
      </c>
    </row>
    <row r="35" spans="1:54" s="385" customFormat="1">
      <c r="A35" s="234">
        <v>42081</v>
      </c>
      <c r="B35" s="257" t="s">
        <v>948</v>
      </c>
      <c r="C35" s="284" t="s">
        <v>739</v>
      </c>
      <c r="D35" s="214"/>
      <c r="E35" s="386">
        <v>265</v>
      </c>
      <c r="F35" s="214"/>
      <c r="G35" s="215"/>
      <c r="H35" s="214"/>
      <c r="I35" s="215"/>
      <c r="J35" s="214"/>
      <c r="K35" s="215"/>
      <c r="L35" s="214"/>
      <c r="M35" s="215"/>
      <c r="N35" s="214"/>
      <c r="O35" s="215"/>
      <c r="P35" s="214"/>
      <c r="Q35" s="215"/>
      <c r="R35" s="214"/>
      <c r="S35" s="215"/>
      <c r="T35" s="214">
        <v>265</v>
      </c>
      <c r="U35" s="215"/>
      <c r="V35" s="214"/>
      <c r="W35" s="215"/>
      <c r="X35" s="214"/>
      <c r="Y35" s="215"/>
      <c r="Z35" s="214"/>
      <c r="AA35" s="215"/>
      <c r="AB35" s="214"/>
      <c r="AC35" s="215"/>
      <c r="AD35" s="214"/>
      <c r="AE35" s="215"/>
      <c r="AF35" s="214"/>
      <c r="AG35" s="215"/>
      <c r="AH35" s="214"/>
      <c r="AI35" s="215"/>
      <c r="AJ35" s="214"/>
      <c r="AK35" s="215"/>
      <c r="AL35" s="214"/>
      <c r="AM35" s="215"/>
      <c r="AN35" s="214"/>
      <c r="AO35" s="215"/>
      <c r="AP35" s="214"/>
      <c r="AQ35" s="215"/>
      <c r="AR35" s="214"/>
      <c r="AS35" s="215"/>
      <c r="AT35" s="214"/>
      <c r="AU35" s="215"/>
      <c r="AV35" s="214"/>
      <c r="AW35" s="319"/>
      <c r="AX35" s="214"/>
      <c r="AY35" s="215"/>
      <c r="AZ35" s="384">
        <f t="shared" si="0"/>
        <v>0</v>
      </c>
    </row>
    <row r="36" spans="1:54" s="79" customFormat="1">
      <c r="A36" s="234">
        <v>42278</v>
      </c>
      <c r="B36" s="280" t="s">
        <v>268</v>
      </c>
      <c r="C36" s="284" t="s">
        <v>740</v>
      </c>
      <c r="D36" s="214"/>
      <c r="E36" s="215">
        <v>85.75</v>
      </c>
      <c r="F36" s="214"/>
      <c r="G36" s="215"/>
      <c r="H36" s="214"/>
      <c r="I36" s="215"/>
      <c r="J36" s="214"/>
      <c r="K36" s="215"/>
      <c r="L36" s="214"/>
      <c r="M36" s="215"/>
      <c r="N36" s="214"/>
      <c r="O36" s="215"/>
      <c r="P36" s="362">
        <v>85.75</v>
      </c>
      <c r="Q36" s="215"/>
      <c r="R36" s="214"/>
      <c r="S36" s="215"/>
      <c r="T36" s="214"/>
      <c r="U36" s="215"/>
      <c r="V36" s="214"/>
      <c r="W36" s="215"/>
      <c r="X36" s="214"/>
      <c r="Y36" s="215"/>
      <c r="Z36" s="214"/>
      <c r="AA36" s="215"/>
      <c r="AB36" s="214"/>
      <c r="AC36" s="215"/>
      <c r="AD36" s="214"/>
      <c r="AE36" s="215"/>
      <c r="AF36" s="214"/>
      <c r="AG36" s="215"/>
      <c r="AH36" s="214"/>
      <c r="AI36" s="215"/>
      <c r="AJ36" s="214"/>
      <c r="AK36" s="215"/>
      <c r="AL36" s="214"/>
      <c r="AM36" s="215"/>
      <c r="AN36" s="214"/>
      <c r="AO36" s="215"/>
      <c r="AP36" s="214"/>
      <c r="AQ36" s="215"/>
      <c r="AR36" s="214"/>
      <c r="AS36" s="215"/>
      <c r="AT36" s="214"/>
      <c r="AU36" s="215"/>
      <c r="AV36" s="214"/>
      <c r="AW36" s="319"/>
      <c r="AX36" s="214"/>
      <c r="AY36" s="215"/>
      <c r="AZ36" s="243">
        <f t="shared" si="0"/>
        <v>0</v>
      </c>
    </row>
    <row r="37" spans="1:54" s="79" customFormat="1">
      <c r="A37" s="234">
        <v>42307</v>
      </c>
      <c r="B37" s="317" t="s">
        <v>955</v>
      </c>
      <c r="C37" s="284" t="s">
        <v>741</v>
      </c>
      <c r="D37" s="214">
        <v>16500</v>
      </c>
      <c r="E37" s="215"/>
      <c r="F37" s="214"/>
      <c r="G37" s="215"/>
      <c r="H37" s="214"/>
      <c r="I37" s="215"/>
      <c r="J37" s="214"/>
      <c r="K37" s="215"/>
      <c r="L37" s="214"/>
      <c r="M37" s="215"/>
      <c r="N37" s="214"/>
      <c r="O37" s="215"/>
      <c r="P37" s="362"/>
      <c r="Q37" s="215"/>
      <c r="R37" s="214"/>
      <c r="S37" s="215"/>
      <c r="T37" s="214"/>
      <c r="U37" s="215"/>
      <c r="V37" s="214"/>
      <c r="W37" s="215"/>
      <c r="X37" s="214"/>
      <c r="Y37" s="215"/>
      <c r="Z37" s="214"/>
      <c r="AA37" s="215"/>
      <c r="AB37" s="214"/>
      <c r="AC37" s="215">
        <v>16500</v>
      </c>
      <c r="AD37" s="214"/>
      <c r="AE37" s="215"/>
      <c r="AF37" s="214"/>
      <c r="AG37" s="215"/>
      <c r="AH37" s="214"/>
      <c r="AI37" s="215"/>
      <c r="AJ37" s="214"/>
      <c r="AK37" s="215"/>
      <c r="AL37" s="214"/>
      <c r="AM37" s="215"/>
      <c r="AN37" s="214"/>
      <c r="AO37" s="215"/>
      <c r="AP37" s="214"/>
      <c r="AQ37" s="215"/>
      <c r="AR37" s="214"/>
      <c r="AS37" s="215"/>
      <c r="AT37" s="214"/>
      <c r="AU37" s="215"/>
      <c r="AV37" s="214"/>
      <c r="AW37" s="319"/>
      <c r="AX37" s="214"/>
      <c r="AY37" s="215"/>
      <c r="AZ37" s="243">
        <f t="shared" si="0"/>
        <v>0</v>
      </c>
    </row>
    <row r="38" spans="1:54" s="79" customFormat="1">
      <c r="A38" s="234">
        <v>42307</v>
      </c>
      <c r="B38" s="317" t="s">
        <v>956</v>
      </c>
      <c r="C38" s="284" t="s">
        <v>741</v>
      </c>
      <c r="D38" s="214">
        <v>200</v>
      </c>
      <c r="E38" s="215"/>
      <c r="F38" s="214"/>
      <c r="G38" s="215"/>
      <c r="H38" s="214"/>
      <c r="I38" s="215"/>
      <c r="J38" s="214"/>
      <c r="K38" s="215"/>
      <c r="L38" s="214"/>
      <c r="M38" s="215"/>
      <c r="N38" s="214"/>
      <c r="O38" s="215"/>
      <c r="P38" s="362"/>
      <c r="Q38" s="215"/>
      <c r="R38" s="214"/>
      <c r="S38" s="215"/>
      <c r="T38" s="214"/>
      <c r="U38" s="215"/>
      <c r="V38" s="214"/>
      <c r="W38" s="215"/>
      <c r="X38" s="214"/>
      <c r="Y38" s="215"/>
      <c r="Z38" s="214"/>
      <c r="AA38" s="215"/>
      <c r="AB38" s="214"/>
      <c r="AC38" s="215">
        <v>200</v>
      </c>
      <c r="AD38" s="214"/>
      <c r="AE38" s="215"/>
      <c r="AF38" s="214"/>
      <c r="AG38" s="215"/>
      <c r="AH38" s="214"/>
      <c r="AI38" s="215"/>
      <c r="AJ38" s="214"/>
      <c r="AK38" s="215"/>
      <c r="AL38" s="214"/>
      <c r="AM38" s="215"/>
      <c r="AN38" s="214"/>
      <c r="AO38" s="215"/>
      <c r="AP38" s="214"/>
      <c r="AQ38" s="215"/>
      <c r="AR38" s="214"/>
      <c r="AS38" s="215"/>
      <c r="AT38" s="214"/>
      <c r="AU38" s="215"/>
      <c r="AV38" s="214"/>
      <c r="AW38" s="319"/>
      <c r="AX38" s="214"/>
      <c r="AY38" s="215"/>
      <c r="AZ38" s="243">
        <f t="shared" si="0"/>
        <v>0</v>
      </c>
      <c r="BB38" s="277"/>
    </row>
    <row r="39" spans="1:54" s="385" customFormat="1">
      <c r="A39" s="234">
        <v>42298</v>
      </c>
      <c r="B39" s="257" t="s">
        <v>957</v>
      </c>
      <c r="C39" s="284" t="s">
        <v>742</v>
      </c>
      <c r="D39" s="214"/>
      <c r="E39" s="215">
        <v>1502.24</v>
      </c>
      <c r="F39" s="214"/>
      <c r="G39" s="215"/>
      <c r="H39" s="214"/>
      <c r="I39" s="215"/>
      <c r="J39" s="214">
        <v>1358.04</v>
      </c>
      <c r="K39" s="215"/>
      <c r="L39" s="214"/>
      <c r="M39" s="215"/>
      <c r="N39" s="214"/>
      <c r="O39" s="215"/>
      <c r="P39" s="214">
        <v>144.19999999999999</v>
      </c>
      <c r="Q39" s="215"/>
      <c r="R39" s="214"/>
      <c r="S39" s="215"/>
      <c r="T39" s="214"/>
      <c r="U39" s="215"/>
      <c r="V39" s="214"/>
      <c r="W39" s="215"/>
      <c r="X39" s="214"/>
      <c r="Y39" s="215"/>
      <c r="Z39" s="214"/>
      <c r="AA39" s="215"/>
      <c r="AB39" s="214"/>
      <c r="AC39" s="215"/>
      <c r="AD39" s="214"/>
      <c r="AE39" s="215"/>
      <c r="AF39" s="214"/>
      <c r="AG39" s="215"/>
      <c r="AH39" s="214"/>
      <c r="AI39" s="215"/>
      <c r="AJ39" s="214"/>
      <c r="AK39" s="215"/>
      <c r="AL39" s="214"/>
      <c r="AM39" s="215"/>
      <c r="AN39" s="214"/>
      <c r="AO39" s="215"/>
      <c r="AP39" s="214"/>
      <c r="AQ39" s="215"/>
      <c r="AR39" s="214"/>
      <c r="AS39" s="215"/>
      <c r="AT39" s="214"/>
      <c r="AU39" s="215"/>
      <c r="AV39" s="214"/>
      <c r="AW39" s="319"/>
      <c r="AX39" s="214"/>
      <c r="AY39" s="215"/>
      <c r="AZ39" s="384">
        <f t="shared" si="0"/>
        <v>-5.6843418860808015E-14</v>
      </c>
    </row>
    <row r="40" spans="1:54" s="79" customFormat="1">
      <c r="A40" s="234">
        <v>42310</v>
      </c>
      <c r="B40" s="280" t="s">
        <v>268</v>
      </c>
      <c r="C40" s="284" t="s">
        <v>743</v>
      </c>
      <c r="D40" s="214"/>
      <c r="E40" s="215">
        <v>84.5</v>
      </c>
      <c r="F40" s="214"/>
      <c r="G40" s="215"/>
      <c r="H40" s="214"/>
      <c r="I40" s="215"/>
      <c r="J40" s="214"/>
      <c r="K40" s="215"/>
      <c r="L40" s="214"/>
      <c r="M40" s="215"/>
      <c r="N40" s="214"/>
      <c r="O40" s="215"/>
      <c r="P40" s="362">
        <v>84.5</v>
      </c>
      <c r="Q40" s="215"/>
      <c r="R40" s="214"/>
      <c r="S40" s="215"/>
      <c r="T40" s="214"/>
      <c r="U40" s="215"/>
      <c r="V40" s="214"/>
      <c r="W40" s="215"/>
      <c r="X40" s="214"/>
      <c r="Y40" s="215"/>
      <c r="Z40" s="214"/>
      <c r="AA40" s="215"/>
      <c r="AB40" s="214"/>
      <c r="AC40" s="215"/>
      <c r="AD40" s="214"/>
      <c r="AE40" s="215"/>
      <c r="AF40" s="214"/>
      <c r="AG40" s="215"/>
      <c r="AH40" s="214"/>
      <c r="AI40" s="215"/>
      <c r="AJ40" s="214"/>
      <c r="AK40" s="215"/>
      <c r="AL40" s="214"/>
      <c r="AM40" s="215"/>
      <c r="AN40" s="214"/>
      <c r="AO40" s="215"/>
      <c r="AP40" s="214"/>
      <c r="AQ40" s="215"/>
      <c r="AR40" s="214"/>
      <c r="AS40" s="215"/>
      <c r="AT40" s="214"/>
      <c r="AU40" s="215"/>
      <c r="AV40" s="214"/>
      <c r="AW40" s="319"/>
      <c r="AX40" s="214"/>
      <c r="AY40" s="215"/>
      <c r="AZ40" s="243">
        <f t="shared" si="0"/>
        <v>0</v>
      </c>
    </row>
    <row r="41" spans="1:54" s="79" customFormat="1">
      <c r="A41" s="234">
        <v>42331</v>
      </c>
      <c r="B41" s="317" t="s">
        <v>958</v>
      </c>
      <c r="C41" s="284" t="s">
        <v>743</v>
      </c>
      <c r="D41" s="214">
        <v>2400</v>
      </c>
      <c r="E41" s="215"/>
      <c r="F41" s="214"/>
      <c r="G41" s="215"/>
      <c r="H41" s="214"/>
      <c r="I41" s="215"/>
      <c r="J41" s="214"/>
      <c r="K41" s="215"/>
      <c r="L41" s="214"/>
      <c r="M41" s="215"/>
      <c r="N41" s="214"/>
      <c r="O41" s="215"/>
      <c r="P41" s="214"/>
      <c r="Q41" s="215"/>
      <c r="R41" s="214"/>
      <c r="S41" s="215"/>
      <c r="T41" s="214"/>
      <c r="U41" s="215"/>
      <c r="V41" s="214"/>
      <c r="W41" s="215"/>
      <c r="X41" s="214"/>
      <c r="Y41" s="215"/>
      <c r="Z41" s="214"/>
      <c r="AA41" s="215"/>
      <c r="AB41" s="214"/>
      <c r="AC41" s="215">
        <v>2400</v>
      </c>
      <c r="AD41" s="214"/>
      <c r="AE41" s="215"/>
      <c r="AF41" s="214"/>
      <c r="AG41" s="215"/>
      <c r="AH41" s="214"/>
      <c r="AI41" s="215"/>
      <c r="AJ41" s="214"/>
      <c r="AK41" s="215"/>
      <c r="AL41" s="214"/>
      <c r="AM41" s="215"/>
      <c r="AN41" s="214"/>
      <c r="AO41" s="215"/>
      <c r="AP41" s="214"/>
      <c r="AQ41" s="215"/>
      <c r="AR41" s="214"/>
      <c r="AS41" s="215"/>
      <c r="AT41" s="214"/>
      <c r="AU41" s="215"/>
      <c r="AV41" s="214"/>
      <c r="AW41" s="319"/>
      <c r="AX41" s="214"/>
      <c r="AY41" s="215"/>
      <c r="AZ41" s="243">
        <f t="shared" si="0"/>
        <v>0</v>
      </c>
    </row>
    <row r="42" spans="1:54" s="79" customFormat="1">
      <c r="A42" s="369">
        <v>42340</v>
      </c>
      <c r="B42" s="280" t="s">
        <v>268</v>
      </c>
      <c r="C42" s="284" t="s">
        <v>744</v>
      </c>
      <c r="D42" s="214"/>
      <c r="E42" s="215">
        <v>80</v>
      </c>
      <c r="F42" s="214"/>
      <c r="G42" s="215"/>
      <c r="H42" s="214"/>
      <c r="I42" s="215"/>
      <c r="J42" s="214"/>
      <c r="K42" s="215"/>
      <c r="L42" s="214"/>
      <c r="M42" s="215"/>
      <c r="N42" s="214"/>
      <c r="O42" s="215"/>
      <c r="P42" s="214">
        <v>80</v>
      </c>
      <c r="Q42" s="215"/>
      <c r="R42" s="214"/>
      <c r="S42" s="215"/>
      <c r="T42" s="214"/>
      <c r="U42" s="215"/>
      <c r="V42" s="214"/>
      <c r="W42" s="215"/>
      <c r="X42" s="214"/>
      <c r="Y42" s="215"/>
      <c r="Z42" s="214"/>
      <c r="AA42" s="215"/>
      <c r="AB42" s="214"/>
      <c r="AC42" s="215"/>
      <c r="AD42" s="214"/>
      <c r="AE42" s="215"/>
      <c r="AF42" s="214"/>
      <c r="AG42" s="215"/>
      <c r="AH42" s="214"/>
      <c r="AI42" s="215"/>
      <c r="AJ42" s="214"/>
      <c r="AK42" s="215"/>
      <c r="AL42" s="214"/>
      <c r="AM42" s="215"/>
      <c r="AN42" s="214"/>
      <c r="AO42" s="215"/>
      <c r="AP42" s="214"/>
      <c r="AQ42" s="215"/>
      <c r="AR42" s="214"/>
      <c r="AS42" s="215"/>
      <c r="AT42" s="214"/>
      <c r="AU42" s="215"/>
      <c r="AV42" s="214"/>
      <c r="AW42" s="319"/>
      <c r="AX42" s="214"/>
      <c r="AY42" s="215"/>
      <c r="AZ42" s="243">
        <f t="shared" si="0"/>
        <v>0</v>
      </c>
    </row>
    <row r="43" spans="1:54" s="79" customFormat="1">
      <c r="A43" s="234">
        <v>42369</v>
      </c>
      <c r="B43" s="280" t="s">
        <v>46</v>
      </c>
      <c r="C43" s="284" t="s">
        <v>744</v>
      </c>
      <c r="D43" s="214">
        <v>44.53</v>
      </c>
      <c r="E43" s="215"/>
      <c r="F43" s="214"/>
      <c r="G43" s="215"/>
      <c r="H43" s="214"/>
      <c r="I43" s="215"/>
      <c r="J43" s="214"/>
      <c r="K43" s="215"/>
      <c r="L43" s="214"/>
      <c r="M43" s="215"/>
      <c r="N43" s="214"/>
      <c r="O43" s="215"/>
      <c r="P43" s="214"/>
      <c r="Q43" s="215"/>
      <c r="R43" s="214"/>
      <c r="S43" s="215"/>
      <c r="T43" s="214"/>
      <c r="U43" s="215"/>
      <c r="V43" s="214"/>
      <c r="W43" s="215"/>
      <c r="X43" s="214"/>
      <c r="Y43" s="215"/>
      <c r="Z43" s="214"/>
      <c r="AA43" s="215"/>
      <c r="AB43" s="214"/>
      <c r="AC43" s="215"/>
      <c r="AD43" s="214"/>
      <c r="AE43" s="215"/>
      <c r="AF43" s="214"/>
      <c r="AG43" s="215">
        <v>44.53</v>
      </c>
      <c r="AH43" s="214"/>
      <c r="AI43" s="215"/>
      <c r="AJ43" s="214"/>
      <c r="AK43" s="215"/>
      <c r="AL43" s="214"/>
      <c r="AM43" s="215"/>
      <c r="AN43" s="214"/>
      <c r="AO43" s="215"/>
      <c r="AP43" s="214"/>
      <c r="AQ43" s="215"/>
      <c r="AR43" s="214"/>
      <c r="AS43" s="215"/>
      <c r="AT43" s="214"/>
      <c r="AU43" s="215"/>
      <c r="AV43" s="214"/>
      <c r="AW43" s="319"/>
      <c r="AX43" s="214"/>
      <c r="AY43" s="215"/>
      <c r="AZ43" s="243">
        <f t="shared" si="0"/>
        <v>0</v>
      </c>
    </row>
    <row r="44" spans="1:54" s="79" customFormat="1">
      <c r="A44" s="366">
        <v>42369</v>
      </c>
      <c r="B44" s="317" t="s">
        <v>958</v>
      </c>
      <c r="C44" s="284" t="s">
        <v>744</v>
      </c>
      <c r="D44" s="362">
        <v>3300</v>
      </c>
      <c r="E44" s="363"/>
      <c r="F44" s="362"/>
      <c r="G44" s="363"/>
      <c r="H44" s="362"/>
      <c r="I44" s="363"/>
      <c r="J44" s="362"/>
      <c r="K44" s="363"/>
      <c r="L44" s="362"/>
      <c r="M44" s="363"/>
      <c r="N44" s="362"/>
      <c r="O44" s="363"/>
      <c r="P44" s="362"/>
      <c r="Q44" s="363"/>
      <c r="R44" s="362"/>
      <c r="S44" s="363"/>
      <c r="T44" s="362"/>
      <c r="U44" s="363"/>
      <c r="V44" s="362"/>
      <c r="W44" s="363"/>
      <c r="X44" s="362"/>
      <c r="Y44" s="363"/>
      <c r="Z44" s="362"/>
      <c r="AA44" s="363"/>
      <c r="AB44" s="362"/>
      <c r="AC44" s="363">
        <v>3300</v>
      </c>
      <c r="AD44" s="362"/>
      <c r="AE44" s="363"/>
      <c r="AF44" s="362"/>
      <c r="AG44" s="363"/>
      <c r="AH44" s="362"/>
      <c r="AI44" s="363"/>
      <c r="AJ44" s="362"/>
      <c r="AK44" s="363"/>
      <c r="AL44" s="362"/>
      <c r="AM44" s="363"/>
      <c r="AN44" s="362"/>
      <c r="AO44" s="363"/>
      <c r="AP44" s="362"/>
      <c r="AQ44" s="363"/>
      <c r="AR44" s="362"/>
      <c r="AS44" s="363"/>
      <c r="AT44" s="362"/>
      <c r="AU44" s="215"/>
      <c r="AV44" s="214"/>
      <c r="AW44" s="319"/>
      <c r="AX44" s="214"/>
      <c r="AY44" s="215"/>
      <c r="AZ44" s="243">
        <f t="shared" si="0"/>
        <v>0</v>
      </c>
    </row>
    <row r="45" spans="1:54" s="79" customFormat="1">
      <c r="A45" s="234">
        <v>42355</v>
      </c>
      <c r="B45" s="257" t="s">
        <v>959</v>
      </c>
      <c r="C45" s="284" t="s">
        <v>744</v>
      </c>
      <c r="D45" s="214">
        <v>21687</v>
      </c>
      <c r="E45" s="215"/>
      <c r="F45" s="214"/>
      <c r="G45" s="215"/>
      <c r="H45" s="214"/>
      <c r="I45" s="215"/>
      <c r="J45" s="214"/>
      <c r="K45" s="215"/>
      <c r="L45" s="214"/>
      <c r="M45" s="215"/>
      <c r="N45" s="214"/>
      <c r="O45" s="215"/>
      <c r="P45" s="214"/>
      <c r="Q45" s="215"/>
      <c r="R45" s="214"/>
      <c r="S45" s="215"/>
      <c r="T45" s="214"/>
      <c r="U45" s="215"/>
      <c r="V45" s="214"/>
      <c r="W45" s="215"/>
      <c r="X45" s="362"/>
      <c r="Y45" s="363"/>
      <c r="Z45" s="362"/>
      <c r="AA45" s="215"/>
      <c r="AB45" s="214"/>
      <c r="AC45" s="215"/>
      <c r="AD45" s="214"/>
      <c r="AE45" s="215"/>
      <c r="AF45" s="214"/>
      <c r="AG45" s="215"/>
      <c r="AH45" s="214"/>
      <c r="AI45" s="215">
        <v>21687</v>
      </c>
      <c r="AJ45" s="214"/>
      <c r="AK45" s="215"/>
      <c r="AL45" s="214"/>
      <c r="AM45" s="215"/>
      <c r="AN45" s="214"/>
      <c r="AO45" s="215"/>
      <c r="AP45" s="214"/>
      <c r="AQ45" s="215"/>
      <c r="AR45" s="214"/>
      <c r="AS45" s="215"/>
      <c r="AT45" s="214"/>
      <c r="AU45" s="215"/>
      <c r="AV45" s="214"/>
      <c r="AW45" s="319"/>
      <c r="AX45" s="214"/>
      <c r="AY45" s="215"/>
      <c r="AZ45" s="243">
        <f t="shared" si="0"/>
        <v>0</v>
      </c>
      <c r="BB45" s="277" t="s">
        <v>963</v>
      </c>
    </row>
    <row r="46" spans="1:54" s="79" customFormat="1">
      <c r="A46" s="234">
        <v>42359</v>
      </c>
      <c r="B46" s="257" t="s">
        <v>960</v>
      </c>
      <c r="C46" s="284" t="s">
        <v>770</v>
      </c>
      <c r="D46" s="214"/>
      <c r="E46" s="215">
        <v>1692.5</v>
      </c>
      <c r="F46" s="214"/>
      <c r="G46" s="215"/>
      <c r="H46" s="214">
        <v>1692.5</v>
      </c>
      <c r="I46" s="215"/>
      <c r="J46" s="214"/>
      <c r="K46" s="323"/>
      <c r="L46" s="214"/>
      <c r="M46" s="215"/>
      <c r="N46" s="214"/>
      <c r="O46" s="215"/>
      <c r="P46" s="214"/>
      <c r="Q46" s="215"/>
      <c r="R46" s="214"/>
      <c r="S46" s="215"/>
      <c r="T46" s="214"/>
      <c r="U46" s="215"/>
      <c r="V46" s="214"/>
      <c r="W46" s="215"/>
      <c r="X46" s="362"/>
      <c r="Y46" s="363"/>
      <c r="Z46" s="362"/>
      <c r="AA46" s="215"/>
      <c r="AB46" s="214"/>
      <c r="AC46" s="215"/>
      <c r="AD46" s="214"/>
      <c r="AE46" s="215"/>
      <c r="AF46" s="214"/>
      <c r="AG46" s="215"/>
      <c r="AH46" s="214"/>
      <c r="AI46" s="215"/>
      <c r="AJ46" s="214"/>
      <c r="AK46" s="215"/>
      <c r="AL46" s="214"/>
      <c r="AM46" s="215"/>
      <c r="AN46" s="214"/>
      <c r="AO46" s="215"/>
      <c r="AP46" s="214"/>
      <c r="AQ46" s="215"/>
      <c r="AR46" s="214"/>
      <c r="AS46" s="215"/>
      <c r="AT46" s="214"/>
      <c r="AU46" s="215"/>
      <c r="AV46" s="214"/>
      <c r="AW46" s="319"/>
      <c r="AX46" s="214"/>
      <c r="AY46" s="215"/>
      <c r="AZ46" s="243">
        <f t="shared" si="0"/>
        <v>0</v>
      </c>
    </row>
    <row r="47" spans="1:54" s="79" customFormat="1">
      <c r="A47" s="234">
        <v>42359</v>
      </c>
      <c r="B47" s="257" t="s">
        <v>961</v>
      </c>
      <c r="C47" s="284" t="s">
        <v>771</v>
      </c>
      <c r="D47" s="214"/>
      <c r="E47" s="215">
        <v>1740</v>
      </c>
      <c r="F47" s="214"/>
      <c r="G47" s="215"/>
      <c r="H47" s="214"/>
      <c r="I47" s="215"/>
      <c r="J47" s="214"/>
      <c r="K47" s="215"/>
      <c r="L47" s="214"/>
      <c r="M47" s="215"/>
      <c r="N47" s="214"/>
      <c r="O47" s="215"/>
      <c r="P47" s="214">
        <v>1740</v>
      </c>
      <c r="Q47" s="215"/>
      <c r="R47" s="214"/>
      <c r="S47" s="215"/>
      <c r="T47" s="214"/>
      <c r="U47" s="215"/>
      <c r="V47" s="214"/>
      <c r="W47" s="215"/>
      <c r="X47" s="362"/>
      <c r="Y47" s="363"/>
      <c r="Z47" s="362"/>
      <c r="AA47" s="215"/>
      <c r="AB47" s="214"/>
      <c r="AC47" s="215"/>
      <c r="AD47" s="214"/>
      <c r="AE47" s="215"/>
      <c r="AF47" s="214"/>
      <c r="AG47" s="215"/>
      <c r="AH47" s="214"/>
      <c r="AI47" s="215"/>
      <c r="AJ47" s="214"/>
      <c r="AK47" s="215"/>
      <c r="AL47" s="214"/>
      <c r="AM47" s="215"/>
      <c r="AN47" s="214"/>
      <c r="AO47" s="215"/>
      <c r="AP47" s="214"/>
      <c r="AQ47" s="215"/>
      <c r="AR47" s="214"/>
      <c r="AS47" s="215"/>
      <c r="AT47" s="214"/>
      <c r="AU47" s="215"/>
      <c r="AV47" s="214"/>
      <c r="AW47" s="319"/>
      <c r="AX47" s="214"/>
      <c r="AY47" s="215"/>
      <c r="AZ47" s="243">
        <f t="shared" si="0"/>
        <v>0</v>
      </c>
    </row>
    <row r="48" spans="1:54" s="79" customFormat="1">
      <c r="A48" s="234">
        <v>42359</v>
      </c>
      <c r="B48" s="257" t="s">
        <v>610</v>
      </c>
      <c r="C48" s="284" t="s">
        <v>882</v>
      </c>
      <c r="D48" s="214"/>
      <c r="E48" s="215">
        <v>4000</v>
      </c>
      <c r="F48" s="214"/>
      <c r="G48" s="215"/>
      <c r="H48" s="214">
        <v>4000</v>
      </c>
      <c r="I48" s="215"/>
      <c r="J48" s="214"/>
      <c r="K48" s="215"/>
      <c r="L48" s="214"/>
      <c r="M48" s="215"/>
      <c r="N48" s="214"/>
      <c r="O48" s="215"/>
      <c r="P48" s="214"/>
      <c r="Q48" s="215"/>
      <c r="R48" s="214"/>
      <c r="S48" s="215"/>
      <c r="T48" s="214"/>
      <c r="U48" s="215"/>
      <c r="V48" s="214"/>
      <c r="W48" s="215"/>
      <c r="X48" s="362"/>
      <c r="Y48" s="363"/>
      <c r="Z48" s="362"/>
      <c r="AA48" s="215"/>
      <c r="AB48" s="214"/>
      <c r="AC48" s="215"/>
      <c r="AD48" s="214"/>
      <c r="AE48" s="215"/>
      <c r="AF48" s="214"/>
      <c r="AG48" s="215"/>
      <c r="AH48" s="214"/>
      <c r="AI48" s="215"/>
      <c r="AJ48" s="214"/>
      <c r="AK48" s="215"/>
      <c r="AL48" s="214"/>
      <c r="AM48" s="215"/>
      <c r="AN48" s="214"/>
      <c r="AO48" s="215"/>
      <c r="AP48" s="214"/>
      <c r="AQ48" s="215"/>
      <c r="AR48" s="214"/>
      <c r="AS48" s="215"/>
      <c r="AT48" s="214"/>
      <c r="AU48" s="215"/>
      <c r="AV48" s="214"/>
      <c r="AW48" s="319"/>
      <c r="AX48" s="321"/>
      <c r="AY48" s="215"/>
      <c r="AZ48" s="243">
        <f t="shared" si="0"/>
        <v>0</v>
      </c>
    </row>
    <row r="49" spans="1:53" s="79" customFormat="1">
      <c r="A49" s="234">
        <v>42369</v>
      </c>
      <c r="B49" s="257" t="s">
        <v>970</v>
      </c>
      <c r="C49" s="284" t="s">
        <v>883</v>
      </c>
      <c r="D49" s="214"/>
      <c r="E49" s="215"/>
      <c r="F49" s="214"/>
      <c r="G49" s="215"/>
      <c r="H49" s="214"/>
      <c r="I49" s="215"/>
      <c r="J49" s="214"/>
      <c r="K49" s="215"/>
      <c r="L49" s="214"/>
      <c r="M49" s="215"/>
      <c r="N49" s="214"/>
      <c r="O49" s="215"/>
      <c r="P49" s="214">
        <v>4076.13</v>
      </c>
      <c r="Q49" s="215"/>
      <c r="R49" s="214"/>
      <c r="S49" s="215"/>
      <c r="T49" s="214"/>
      <c r="U49" s="215"/>
      <c r="V49" s="214"/>
      <c r="W49" s="215"/>
      <c r="X49" s="362"/>
      <c r="Y49" s="363"/>
      <c r="Z49" s="362"/>
      <c r="AA49" s="215"/>
      <c r="AB49" s="214"/>
      <c r="AC49" s="215"/>
      <c r="AD49" s="214"/>
      <c r="AE49" s="215"/>
      <c r="AF49" s="214"/>
      <c r="AG49" s="215"/>
      <c r="AH49" s="214"/>
      <c r="AI49" s="215"/>
      <c r="AJ49" s="214"/>
      <c r="AK49" s="215"/>
      <c r="AL49" s="214"/>
      <c r="AM49" s="215"/>
      <c r="AN49" s="214"/>
      <c r="AO49" s="215"/>
      <c r="AP49" s="214"/>
      <c r="AQ49" s="215"/>
      <c r="AR49" s="214"/>
      <c r="AS49" s="215"/>
      <c r="AT49" s="214"/>
      <c r="AU49" s="215"/>
      <c r="AV49" s="214"/>
      <c r="AW49" s="319">
        <v>115.42</v>
      </c>
      <c r="AX49" s="379"/>
      <c r="AY49" s="380">
        <v>3960.71</v>
      </c>
      <c r="AZ49" s="243">
        <f t="shared" si="0"/>
        <v>0</v>
      </c>
    </row>
    <row r="50" spans="1:53" s="79" customFormat="1">
      <c r="A50" s="234">
        <v>42369</v>
      </c>
      <c r="B50" s="280" t="s">
        <v>46</v>
      </c>
      <c r="C50" s="284" t="s">
        <v>713</v>
      </c>
      <c r="D50" s="214"/>
      <c r="E50" s="215"/>
      <c r="F50" s="214"/>
      <c r="G50" s="215"/>
      <c r="H50" s="214"/>
      <c r="I50" s="215"/>
      <c r="J50" s="214"/>
      <c r="K50" s="215"/>
      <c r="L50" s="214"/>
      <c r="M50" s="215"/>
      <c r="N50" s="214"/>
      <c r="O50" s="215"/>
      <c r="P50" s="214"/>
      <c r="Q50" s="215"/>
      <c r="R50" s="214"/>
      <c r="S50" s="215"/>
      <c r="T50" s="214"/>
      <c r="U50" s="215"/>
      <c r="V50" s="214"/>
      <c r="W50" s="215"/>
      <c r="X50" s="214"/>
      <c r="Y50" s="215"/>
      <c r="Z50" s="214"/>
      <c r="AA50" s="215"/>
      <c r="AB50" s="214"/>
      <c r="AC50" s="215"/>
      <c r="AD50" s="215">
        <v>9952.64</v>
      </c>
      <c r="AE50" s="215"/>
      <c r="AF50" s="214"/>
      <c r="AG50" s="215">
        <v>9952.64</v>
      </c>
      <c r="AH50" s="214"/>
      <c r="AI50" s="215"/>
      <c r="AJ50" s="214"/>
      <c r="AK50" s="215"/>
      <c r="AL50" s="214"/>
      <c r="AM50" s="215"/>
      <c r="AN50" s="214"/>
      <c r="AO50" s="215"/>
      <c r="AP50" s="214"/>
      <c r="AQ50" s="215"/>
      <c r="AR50" s="214"/>
      <c r="AS50" s="215"/>
      <c r="AT50" s="214"/>
      <c r="AU50" s="215"/>
      <c r="AV50" s="214"/>
      <c r="AW50" s="319"/>
      <c r="AX50" s="322"/>
      <c r="AY50" s="215"/>
      <c r="AZ50" s="243">
        <f t="shared" si="0"/>
        <v>0</v>
      </c>
    </row>
    <row r="51" spans="1:53" s="79" customFormat="1">
      <c r="A51" s="234"/>
      <c r="B51" s="257" t="s">
        <v>974</v>
      </c>
      <c r="C51" s="284"/>
      <c r="D51" s="214"/>
      <c r="E51" s="215"/>
      <c r="F51" s="214"/>
      <c r="G51" s="215"/>
      <c r="H51" s="214"/>
      <c r="I51" s="215"/>
      <c r="J51" s="214"/>
      <c r="K51" s="215"/>
      <c r="L51" s="214"/>
      <c r="M51" s="215"/>
      <c r="N51" s="214"/>
      <c r="O51" s="215"/>
      <c r="P51" s="214"/>
      <c r="Q51" s="215"/>
      <c r="R51" s="214"/>
      <c r="S51" s="215"/>
      <c r="T51" s="214"/>
      <c r="U51" s="215"/>
      <c r="V51" s="214"/>
      <c r="W51" s="215"/>
      <c r="X51" s="214"/>
      <c r="Y51" s="215"/>
      <c r="Z51" s="214"/>
      <c r="AA51" s="215"/>
      <c r="AB51" s="214"/>
      <c r="AC51" s="215">
        <v>1800</v>
      </c>
      <c r="AD51" s="214"/>
      <c r="AE51" s="215"/>
      <c r="AF51" s="214"/>
      <c r="AG51" s="215"/>
      <c r="AH51" s="214"/>
      <c r="AI51" s="215"/>
      <c r="AJ51" s="214"/>
      <c r="AK51" s="215"/>
      <c r="AL51" s="214"/>
      <c r="AM51" s="215"/>
      <c r="AN51" s="214"/>
      <c r="AO51" s="215"/>
      <c r="AP51" s="214"/>
      <c r="AQ51" s="215"/>
      <c r="AR51" s="214"/>
      <c r="AS51" s="215"/>
      <c r="AT51" s="214"/>
      <c r="AU51" s="215"/>
      <c r="AV51" s="214"/>
      <c r="AW51" s="319"/>
      <c r="AX51" s="214">
        <v>1800</v>
      </c>
      <c r="AY51" s="215"/>
      <c r="AZ51" s="243">
        <f t="shared" si="0"/>
        <v>0</v>
      </c>
    </row>
    <row r="52" spans="1:53" s="79" customFormat="1">
      <c r="A52" s="234"/>
      <c r="B52" s="257"/>
      <c r="C52" s="284"/>
      <c r="D52" s="214"/>
      <c r="E52" s="215"/>
      <c r="F52" s="214"/>
      <c r="G52" s="215"/>
      <c r="H52" s="214"/>
      <c r="I52" s="215"/>
      <c r="J52" s="214"/>
      <c r="K52" s="215"/>
      <c r="L52" s="214"/>
      <c r="M52" s="215"/>
      <c r="N52" s="214"/>
      <c r="O52" s="215"/>
      <c r="P52" s="214"/>
      <c r="Q52" s="215"/>
      <c r="R52" s="214"/>
      <c r="S52" s="215"/>
      <c r="T52" s="214"/>
      <c r="U52" s="215"/>
      <c r="V52" s="214"/>
      <c r="W52" s="215"/>
      <c r="X52" s="214"/>
      <c r="Y52" s="215"/>
      <c r="Z52" s="214"/>
      <c r="AA52" s="215"/>
      <c r="AB52" s="214"/>
      <c r="AC52" s="215"/>
      <c r="AD52" s="214"/>
      <c r="AE52" s="215"/>
      <c r="AF52" s="214"/>
      <c r="AG52" s="215"/>
      <c r="AH52" s="214"/>
      <c r="AI52" s="215"/>
      <c r="AJ52" s="214"/>
      <c r="AK52" s="215"/>
      <c r="AL52" s="214"/>
      <c r="AM52" s="215"/>
      <c r="AN52" s="214"/>
      <c r="AO52" s="215"/>
      <c r="AP52" s="214"/>
      <c r="AQ52" s="215"/>
      <c r="AR52" s="214"/>
      <c r="AS52" s="215"/>
      <c r="AT52" s="214"/>
      <c r="AU52" s="215"/>
      <c r="AV52" s="214"/>
      <c r="AW52" s="319"/>
      <c r="AX52" s="214"/>
      <c r="AY52" s="215"/>
      <c r="AZ52" s="243">
        <f t="shared" si="0"/>
        <v>0</v>
      </c>
    </row>
    <row r="53" spans="1:53" s="79" customFormat="1">
      <c r="A53" s="234"/>
      <c r="B53" s="257"/>
      <c r="C53" s="284"/>
      <c r="D53" s="214"/>
      <c r="E53" s="215"/>
      <c r="F53" s="214"/>
      <c r="G53" s="215"/>
      <c r="H53" s="214"/>
      <c r="I53" s="215"/>
      <c r="J53" s="214"/>
      <c r="K53" s="215"/>
      <c r="L53" s="214"/>
      <c r="M53" s="215"/>
      <c r="N53" s="214"/>
      <c r="O53" s="215"/>
      <c r="P53" s="214"/>
      <c r="Q53" s="215"/>
      <c r="R53" s="214"/>
      <c r="S53" s="215"/>
      <c r="T53" s="214"/>
      <c r="U53" s="215"/>
      <c r="V53" s="214"/>
      <c r="W53" s="215"/>
      <c r="X53" s="214"/>
      <c r="Y53" s="215"/>
      <c r="Z53" s="214"/>
      <c r="AA53" s="215"/>
      <c r="AB53" s="214"/>
      <c r="AC53" s="215"/>
      <c r="AD53" s="214"/>
      <c r="AE53" s="215"/>
      <c r="AF53" s="214"/>
      <c r="AG53" s="215"/>
      <c r="AH53" s="214"/>
      <c r="AI53" s="215"/>
      <c r="AJ53" s="214"/>
      <c r="AK53" s="215"/>
      <c r="AL53" s="214"/>
      <c r="AM53" s="215"/>
      <c r="AN53" s="214"/>
      <c r="AO53" s="215"/>
      <c r="AP53" s="214"/>
      <c r="AQ53" s="215"/>
      <c r="AR53" s="214"/>
      <c r="AS53" s="215"/>
      <c r="AT53" s="214"/>
      <c r="AU53" s="215"/>
      <c r="AV53" s="214"/>
      <c r="AW53" s="319"/>
      <c r="AX53" s="214"/>
      <c r="AY53" s="215"/>
      <c r="AZ53" s="243">
        <f t="shared" si="0"/>
        <v>0</v>
      </c>
    </row>
    <row r="54" spans="1:53" s="79" customFormat="1">
      <c r="A54" s="234"/>
      <c r="B54" s="257"/>
      <c r="C54" s="284"/>
      <c r="D54" s="214"/>
      <c r="E54" s="215"/>
      <c r="F54" s="214"/>
      <c r="G54" s="215"/>
      <c r="H54" s="214"/>
      <c r="I54" s="215"/>
      <c r="J54" s="214"/>
      <c r="K54" s="215"/>
      <c r="L54" s="214"/>
      <c r="M54" s="215"/>
      <c r="N54" s="214"/>
      <c r="O54" s="215"/>
      <c r="P54" s="214"/>
      <c r="Q54" s="215"/>
      <c r="R54" s="214"/>
      <c r="S54" s="215"/>
      <c r="T54" s="214"/>
      <c r="U54" s="215"/>
      <c r="V54" s="214"/>
      <c r="W54" s="215"/>
      <c r="X54" s="214"/>
      <c r="Y54" s="215"/>
      <c r="Z54" s="214"/>
      <c r="AA54" s="215"/>
      <c r="AB54" s="214"/>
      <c r="AC54" s="215"/>
      <c r="AD54" s="214"/>
      <c r="AE54" s="215"/>
      <c r="AF54" s="214"/>
      <c r="AG54" s="215"/>
      <c r="AH54" s="214"/>
      <c r="AI54" s="215"/>
      <c r="AJ54" s="214"/>
      <c r="AK54" s="215"/>
      <c r="AL54" s="214"/>
      <c r="AM54" s="215"/>
      <c r="AN54" s="214"/>
      <c r="AO54" s="215"/>
      <c r="AP54" s="214"/>
      <c r="AQ54" s="215"/>
      <c r="AR54" s="214"/>
      <c r="AS54" s="215"/>
      <c r="AT54" s="214"/>
      <c r="AU54" s="215"/>
      <c r="AV54" s="214"/>
      <c r="AW54" s="319"/>
      <c r="AX54" s="214"/>
      <c r="AY54" s="215"/>
      <c r="AZ54" s="243">
        <f t="shared" si="0"/>
        <v>0</v>
      </c>
    </row>
    <row r="55" spans="1:53" s="79" customFormat="1">
      <c r="A55" s="234"/>
      <c r="B55" s="257"/>
      <c r="C55" s="284"/>
      <c r="D55" s="214"/>
      <c r="E55" s="215"/>
      <c r="F55" s="214"/>
      <c r="G55" s="215"/>
      <c r="H55" s="214"/>
      <c r="I55" s="215"/>
      <c r="J55" s="214"/>
      <c r="K55" s="215"/>
      <c r="L55" s="214"/>
      <c r="M55" s="215"/>
      <c r="N55" s="214"/>
      <c r="O55" s="215"/>
      <c r="P55" s="214"/>
      <c r="Q55" s="215"/>
      <c r="R55" s="214"/>
      <c r="S55" s="215"/>
      <c r="T55" s="214"/>
      <c r="U55" s="215"/>
      <c r="V55" s="214"/>
      <c r="W55" s="215"/>
      <c r="X55" s="214"/>
      <c r="Y55" s="215"/>
      <c r="Z55" s="214"/>
      <c r="AA55" s="215"/>
      <c r="AB55" s="214"/>
      <c r="AC55" s="215"/>
      <c r="AD55" s="214"/>
      <c r="AE55" s="215"/>
      <c r="AF55" s="214"/>
      <c r="AG55" s="215"/>
      <c r="AH55" s="214"/>
      <c r="AI55" s="215"/>
      <c r="AJ55" s="214"/>
      <c r="AK55" s="215"/>
      <c r="AL55" s="214"/>
      <c r="AM55" s="215"/>
      <c r="AN55" s="214"/>
      <c r="AO55" s="215"/>
      <c r="AP55" s="214"/>
      <c r="AQ55" s="215"/>
      <c r="AR55" s="214"/>
      <c r="AS55" s="215"/>
      <c r="AT55" s="214"/>
      <c r="AU55" s="215"/>
      <c r="AV55" s="214"/>
      <c r="AW55" s="319"/>
      <c r="AX55" s="214"/>
      <c r="AY55" s="215"/>
      <c r="AZ55" s="243">
        <f t="shared" si="0"/>
        <v>0</v>
      </c>
    </row>
    <row r="56" spans="1:53" s="79" customFormat="1">
      <c r="A56" s="234"/>
      <c r="B56" s="280"/>
      <c r="C56" s="284"/>
      <c r="D56" s="214"/>
      <c r="E56" s="215"/>
      <c r="F56" s="214"/>
      <c r="G56" s="215"/>
      <c r="H56" s="214"/>
      <c r="I56" s="215"/>
      <c r="J56" s="214"/>
      <c r="K56" s="215"/>
      <c r="L56" s="214"/>
      <c r="M56" s="215"/>
      <c r="N56" s="214"/>
      <c r="O56" s="215"/>
      <c r="P56" s="214"/>
      <c r="Q56" s="215"/>
      <c r="R56" s="214"/>
      <c r="S56" s="215"/>
      <c r="T56" s="214"/>
      <c r="U56" s="215"/>
      <c r="V56" s="214"/>
      <c r="W56" s="215"/>
      <c r="X56" s="214"/>
      <c r="Y56" s="215"/>
      <c r="Z56" s="214"/>
      <c r="AA56" s="215"/>
      <c r="AB56" s="214"/>
      <c r="AC56" s="215"/>
      <c r="AD56" s="214"/>
      <c r="AE56" s="215"/>
      <c r="AF56" s="214"/>
      <c r="AG56" s="215"/>
      <c r="AH56" s="214"/>
      <c r="AI56" s="215"/>
      <c r="AJ56" s="214"/>
      <c r="AK56" s="215"/>
      <c r="AL56" s="214"/>
      <c r="AM56" s="215"/>
      <c r="AN56" s="214"/>
      <c r="AO56" s="215"/>
      <c r="AP56" s="214"/>
      <c r="AQ56" s="215"/>
      <c r="AR56" s="214"/>
      <c r="AS56" s="215"/>
      <c r="AT56" s="214"/>
      <c r="AU56" s="215"/>
      <c r="AV56" s="214"/>
      <c r="AW56" s="319"/>
      <c r="AX56" s="214"/>
      <c r="AY56" s="215"/>
      <c r="AZ56" s="243">
        <f t="shared" si="0"/>
        <v>0</v>
      </c>
    </row>
    <row r="57" spans="1:53" s="79" customFormat="1">
      <c r="A57" s="234"/>
      <c r="B57" s="280"/>
      <c r="C57" s="284"/>
      <c r="D57" s="214"/>
      <c r="E57" s="215"/>
      <c r="F57" s="214"/>
      <c r="G57" s="215"/>
      <c r="H57" s="214"/>
      <c r="I57" s="215"/>
      <c r="J57" s="214"/>
      <c r="K57" s="215"/>
      <c r="L57" s="214"/>
      <c r="M57" s="215"/>
      <c r="N57" s="214"/>
      <c r="O57" s="215"/>
      <c r="P57" s="214"/>
      <c r="Q57" s="215"/>
      <c r="R57" s="214"/>
      <c r="S57" s="215"/>
      <c r="T57" s="214"/>
      <c r="U57" s="215"/>
      <c r="V57" s="214"/>
      <c r="W57" s="215"/>
      <c r="X57" s="214"/>
      <c r="Y57" s="215"/>
      <c r="Z57" s="214"/>
      <c r="AA57" s="215"/>
      <c r="AB57" s="214"/>
      <c r="AC57" s="215"/>
      <c r="AD57" s="214"/>
      <c r="AE57" s="215"/>
      <c r="AF57" s="214"/>
      <c r="AG57" s="215"/>
      <c r="AH57" s="214"/>
      <c r="AI57" s="215"/>
      <c r="AJ57" s="214"/>
      <c r="AK57" s="215"/>
      <c r="AL57" s="214"/>
      <c r="AM57" s="215"/>
      <c r="AN57" s="214"/>
      <c r="AO57" s="215"/>
      <c r="AP57" s="214"/>
      <c r="AQ57" s="215"/>
      <c r="AR57" s="214"/>
      <c r="AS57" s="215"/>
      <c r="AT57" s="214"/>
      <c r="AU57" s="215"/>
      <c r="AV57" s="214"/>
      <c r="AW57" s="319"/>
      <c r="AX57" s="214"/>
      <c r="AY57" s="215"/>
      <c r="AZ57" s="243">
        <f>+D57-E57+F57-G57+H57-I57+J57-K57+L57-M57+N57-O57+P57-Q57+R57-S57+T57-U57+V57-W57+X57-Y57+Z57-AA57+AB57-AC57+AD57-AE57+AF57-AG57+AH57-AI57+AJ57-AK57+AL57-AM57+AN57-AO57+AP57-AQ57+AR57-AS57+AT57-AU57+AV57-AW57+AX57-AY57</f>
        <v>0</v>
      </c>
    </row>
    <row r="58" spans="1:53" s="79" customFormat="1">
      <c r="A58" s="234"/>
      <c r="B58" s="280"/>
      <c r="C58" s="284"/>
      <c r="D58" s="214"/>
      <c r="E58" s="215"/>
      <c r="F58" s="214"/>
      <c r="G58" s="215"/>
      <c r="H58" s="214"/>
      <c r="I58" s="215"/>
      <c r="J58" s="214"/>
      <c r="K58" s="215"/>
      <c r="L58" s="214"/>
      <c r="M58" s="215"/>
      <c r="N58" s="214"/>
      <c r="O58" s="215"/>
      <c r="P58" s="214"/>
      <c r="Q58" s="215"/>
      <c r="R58" s="214"/>
      <c r="S58" s="215"/>
      <c r="T58" s="214"/>
      <c r="U58" s="215"/>
      <c r="V58" s="214"/>
      <c r="W58" s="215"/>
      <c r="X58" s="214"/>
      <c r="Y58" s="215"/>
      <c r="Z58" s="214"/>
      <c r="AA58" s="215"/>
      <c r="AB58" s="214"/>
      <c r="AC58" s="215"/>
      <c r="AD58" s="214"/>
      <c r="AE58" s="215"/>
      <c r="AF58" s="214"/>
      <c r="AG58" s="215"/>
      <c r="AH58" s="214"/>
      <c r="AI58" s="215"/>
      <c r="AJ58" s="214"/>
      <c r="AK58" s="215"/>
      <c r="AL58" s="214"/>
      <c r="AM58" s="215"/>
      <c r="AN58" s="214"/>
      <c r="AO58" s="215"/>
      <c r="AP58" s="214"/>
      <c r="AQ58" s="215"/>
      <c r="AR58" s="214"/>
      <c r="AS58" s="215"/>
      <c r="AT58" s="214"/>
      <c r="AU58" s="215"/>
      <c r="AV58" s="214"/>
      <c r="AW58" s="319"/>
      <c r="AX58" s="214"/>
      <c r="AY58" s="215"/>
      <c r="AZ58" s="243">
        <f>+D58-E58+F58-G58+H58-I58+J58-K58+L58-M58+N58-O58+P58-Q58+R58-S58+T58-U58+V58-W58+X58-Y58+Z58-AA58+AB58-AC58+AD58-AE58+AF58-AG58+AH58-AI58+AJ58-AK58+AL58-AM58+AN58-AO58+AP58-AQ58+AR58-AS58+AT58-AU58+AV58-AW58+AX58-AY58</f>
        <v>0</v>
      </c>
    </row>
    <row r="59" spans="1:53" s="202" customFormat="1">
      <c r="A59" s="235"/>
      <c r="B59" s="207" t="s">
        <v>41</v>
      </c>
      <c r="C59" s="207"/>
      <c r="D59" s="216">
        <f>SUM(D8:D58)</f>
        <v>191534.44999999998</v>
      </c>
      <c r="E59" s="217"/>
      <c r="F59" s="216">
        <f>SUM(F8:F58)</f>
        <v>5000</v>
      </c>
      <c r="G59" s="217"/>
      <c r="H59" s="216">
        <f>SUM(H8:H58)</f>
        <v>5692.5</v>
      </c>
      <c r="I59" s="217"/>
      <c r="J59" s="216">
        <f>SUM(J8:J58)</f>
        <v>2727.4</v>
      </c>
      <c r="K59" s="217"/>
      <c r="L59" s="216">
        <f>SUM(L8:L58)</f>
        <v>1324</v>
      </c>
      <c r="M59" s="217"/>
      <c r="N59" s="216">
        <f>SUM(N8:N58)</f>
        <v>0</v>
      </c>
      <c r="O59" s="217"/>
      <c r="P59" s="216">
        <f>SUM(P8:P58)</f>
        <v>6965.58</v>
      </c>
      <c r="Q59" s="217"/>
      <c r="R59" s="216">
        <f>SUM(R8:R58)</f>
        <v>2500</v>
      </c>
      <c r="S59" s="217"/>
      <c r="T59" s="216">
        <f>SUM(T8:T58)</f>
        <v>265</v>
      </c>
      <c r="U59" s="217"/>
      <c r="V59" s="216">
        <f>SUM(V8:V58)</f>
        <v>0</v>
      </c>
      <c r="W59" s="217"/>
      <c r="X59" s="216">
        <f>SUM(X8:X58)</f>
        <v>0</v>
      </c>
      <c r="Y59" s="217"/>
      <c r="Z59" s="216">
        <f>SUM(Z8:Z58)</f>
        <v>14083</v>
      </c>
      <c r="AA59" s="217"/>
      <c r="AB59" s="216">
        <f>SUM(AB8:AB58)</f>
        <v>0</v>
      </c>
      <c r="AC59" s="217"/>
      <c r="AD59" s="216">
        <f>SUM(AD8:AD58)</f>
        <v>829977.98</v>
      </c>
      <c r="AE59" s="217"/>
      <c r="AF59" s="216">
        <f>SUM(AF8:AF58)</f>
        <v>0</v>
      </c>
      <c r="AG59" s="217"/>
      <c r="AH59" s="216">
        <f>SUM(AH8:AH58)</f>
        <v>0</v>
      </c>
      <c r="AI59" s="217"/>
      <c r="AJ59" s="216">
        <f>SUM(AJ8:AJ58)</f>
        <v>950000</v>
      </c>
      <c r="AK59" s="217"/>
      <c r="AL59" s="216">
        <f>SUM(AL8:AL58)</f>
        <v>112480</v>
      </c>
      <c r="AM59" s="217"/>
      <c r="AN59" s="216">
        <f>SUM(AN8:AN58)</f>
        <v>20000</v>
      </c>
      <c r="AO59" s="217"/>
      <c r="AP59" s="216">
        <f>SUM(AP8:AP58)</f>
        <v>0</v>
      </c>
      <c r="AQ59" s="217"/>
      <c r="AR59" s="216">
        <f>SUM(AR8:AR58)</f>
        <v>0</v>
      </c>
      <c r="AS59" s="217"/>
      <c r="AT59" s="216">
        <f>SUM(AT8:AT58)</f>
        <v>0</v>
      </c>
      <c r="AU59" s="217"/>
      <c r="AV59" s="216">
        <f>SUM(AV8:AV58)</f>
        <v>105383</v>
      </c>
      <c r="AW59" s="375"/>
      <c r="AX59" s="216">
        <f>SUM(AX8:AX58)</f>
        <v>31779.96</v>
      </c>
      <c r="AY59" s="217"/>
      <c r="AZ59" s="203">
        <f t="shared" si="0"/>
        <v>2279712.87</v>
      </c>
      <c r="BA59" s="202" t="s">
        <v>28</v>
      </c>
    </row>
    <row r="60" spans="1:53" s="202" customFormat="1">
      <c r="A60" s="235"/>
      <c r="B60" s="204" t="s">
        <v>42</v>
      </c>
      <c r="C60" s="204"/>
      <c r="D60" s="218"/>
      <c r="E60" s="219">
        <f>SUM(E8:E58)</f>
        <v>139864.34999999998</v>
      </c>
      <c r="F60" s="218"/>
      <c r="G60" s="219">
        <f>SUM(G8:G58)</f>
        <v>0</v>
      </c>
      <c r="H60" s="218"/>
      <c r="I60" s="219">
        <f>SUM(I8:I58)</f>
        <v>0</v>
      </c>
      <c r="J60" s="218"/>
      <c r="K60" s="219">
        <f>SUM(K8:K58)</f>
        <v>0</v>
      </c>
      <c r="L60" s="218"/>
      <c r="M60" s="219">
        <f>SUM(M8:M58)</f>
        <v>0</v>
      </c>
      <c r="N60" s="218"/>
      <c r="O60" s="219">
        <f>SUM(O8:O58)</f>
        <v>0</v>
      </c>
      <c r="P60" s="218"/>
      <c r="Q60" s="219">
        <f>SUM(Q8:Q58)</f>
        <v>0</v>
      </c>
      <c r="R60" s="218"/>
      <c r="S60" s="219">
        <f>SUM(S8:S58)</f>
        <v>0</v>
      </c>
      <c r="T60" s="218"/>
      <c r="U60" s="219">
        <f>SUM(U8:U58)</f>
        <v>0</v>
      </c>
      <c r="V60" s="218"/>
      <c r="W60" s="219">
        <f>SUM(W8:W58)</f>
        <v>0</v>
      </c>
      <c r="X60" s="218"/>
      <c r="Y60" s="219">
        <f>SUM(Y8:Y58)</f>
        <v>0</v>
      </c>
      <c r="Z60" s="218"/>
      <c r="AA60" s="219">
        <f>SUM(AA8:AA58)</f>
        <v>0</v>
      </c>
      <c r="AB60" s="218"/>
      <c r="AC60" s="219">
        <f>SUM(AC8:AC58)</f>
        <v>24800</v>
      </c>
      <c r="AD60" s="218"/>
      <c r="AE60" s="219">
        <f>SUM(AE8:AE58)</f>
        <v>0</v>
      </c>
      <c r="AF60" s="218"/>
      <c r="AG60" s="219">
        <f>SUM(AG8:AG58)</f>
        <v>9997.17</v>
      </c>
      <c r="AH60" s="218"/>
      <c r="AI60" s="219">
        <f>SUM(AI8:AI58)</f>
        <v>21687</v>
      </c>
      <c r="AJ60" s="218"/>
      <c r="AK60" s="219">
        <f>SUM(AK8:AK58)</f>
        <v>0</v>
      </c>
      <c r="AL60" s="218"/>
      <c r="AM60" s="219">
        <f>SUM(AM8:AM58)</f>
        <v>0</v>
      </c>
      <c r="AN60" s="218"/>
      <c r="AO60" s="219">
        <f>SUM(AO8:AO58)</f>
        <v>0</v>
      </c>
      <c r="AP60" s="218"/>
      <c r="AQ60" s="219">
        <f>SUM(AQ8:AQ58)</f>
        <v>1082480</v>
      </c>
      <c r="AR60" s="218"/>
      <c r="AS60" s="219">
        <f>SUM(AS8:AS58)</f>
        <v>721115.91517713771</v>
      </c>
      <c r="AT60" s="218"/>
      <c r="AU60" s="219">
        <f>SUM(AU8:AU58)</f>
        <v>144405.47482286231</v>
      </c>
      <c r="AV60" s="218"/>
      <c r="AW60" s="376">
        <f>SUM(AW8:AW58)</f>
        <v>105383</v>
      </c>
      <c r="AX60" s="218"/>
      <c r="AY60" s="219">
        <f>SUM(AY8:AY58)</f>
        <v>29979.96</v>
      </c>
      <c r="AZ60" s="203">
        <f t="shared" si="0"/>
        <v>-2279712.87</v>
      </c>
      <c r="BA60" s="202" t="s">
        <v>29</v>
      </c>
    </row>
    <row r="61" spans="1:53" s="202" customFormat="1">
      <c r="A61" s="235"/>
      <c r="B61" s="204" t="s">
        <v>197</v>
      </c>
      <c r="C61" s="204"/>
      <c r="D61" s="220">
        <f>IF(D59&gt;=E60,D59-E60,"")</f>
        <v>51670.100000000006</v>
      </c>
      <c r="E61" s="221" t="str">
        <f>IF(D59&lt;E60,E60-D59,"")</f>
        <v/>
      </c>
      <c r="F61" s="220">
        <f>IF(F59&gt;=G60,F59-G60,"")</f>
        <v>5000</v>
      </c>
      <c r="G61" s="221" t="str">
        <f>IF(F59&lt;G60,G60-F59,"")</f>
        <v/>
      </c>
      <c r="H61" s="220">
        <f>IF(H59&gt;=I60,H59-I60,"")</f>
        <v>5692.5</v>
      </c>
      <c r="I61" s="221" t="str">
        <f>IF(H59&lt;I60,I60-H59,"")</f>
        <v/>
      </c>
      <c r="J61" s="220">
        <f>IF(J59&gt;=K60,J59-K60,"")</f>
        <v>2727.4</v>
      </c>
      <c r="K61" s="221" t="str">
        <f>IF(J59&lt;K60,K60-J59,"")</f>
        <v/>
      </c>
      <c r="L61" s="220">
        <f>IF(L59&gt;=M60,L59-M60,"")</f>
        <v>1324</v>
      </c>
      <c r="M61" s="221" t="str">
        <f>IF(L59&lt;M60,M60-L59,"")</f>
        <v/>
      </c>
      <c r="N61" s="220">
        <f>IF(N59&gt;=O60,N59-O60,"")</f>
        <v>0</v>
      </c>
      <c r="O61" s="221" t="str">
        <f>IF(N59&lt;O60,O60-N59,"")</f>
        <v/>
      </c>
      <c r="P61" s="220">
        <f>IF(P59&gt;=Q60,P59-Q60,"")</f>
        <v>6965.58</v>
      </c>
      <c r="Q61" s="221" t="str">
        <f>IF(P59&lt;Q60,Q60-P59,"")</f>
        <v/>
      </c>
      <c r="R61" s="220">
        <f>IF(R59&gt;=S60,R59-S60,"")</f>
        <v>2500</v>
      </c>
      <c r="S61" s="221" t="str">
        <f>IF(R59&lt;S60,S60-R59,"")</f>
        <v/>
      </c>
      <c r="T61" s="220">
        <f>IF(T59&gt;=U60,T59-U60,"")</f>
        <v>265</v>
      </c>
      <c r="U61" s="221" t="str">
        <f>IF(T59&lt;U60,U60-T59,"")</f>
        <v/>
      </c>
      <c r="V61" s="220">
        <f>IF(V59&gt;=W60,V59-W60,"")</f>
        <v>0</v>
      </c>
      <c r="W61" s="221" t="str">
        <f>IF(V59&lt;W60,W60-V59,"")</f>
        <v/>
      </c>
      <c r="X61" s="220">
        <f>IF(X59&gt;=Y60,X59-Y60,"")</f>
        <v>0</v>
      </c>
      <c r="Y61" s="221" t="str">
        <f>IF(X59&lt;Y60,Y60-X59,"")</f>
        <v/>
      </c>
      <c r="Z61" s="220">
        <f>IF(Z59&gt;=AA60,Z59-AA60,"")</f>
        <v>14083</v>
      </c>
      <c r="AA61" s="221" t="str">
        <f>IF(Z59&lt;AA60,AA60-Z59,"")</f>
        <v/>
      </c>
      <c r="AB61" s="220" t="str">
        <f>IF(AB59&gt;=AC60,AB59-AC60,"")</f>
        <v/>
      </c>
      <c r="AC61" s="221">
        <f>IF(AB59&lt;AC60,AC60-AB59,"")</f>
        <v>24800</v>
      </c>
      <c r="AD61" s="220">
        <f>IF(AD59&gt;=AE60,AD59-AE60,"")</f>
        <v>829977.98</v>
      </c>
      <c r="AE61" s="221" t="str">
        <f>IF(AD59&lt;AE60,AE60-AD59,"")</f>
        <v/>
      </c>
      <c r="AF61" s="220" t="str">
        <f>IF(AF59&gt;=AG60,AF59-AG60,"")</f>
        <v/>
      </c>
      <c r="AG61" s="221">
        <f>IF(AF59&lt;AG60,AG60-AF59,"")</f>
        <v>9997.17</v>
      </c>
      <c r="AH61" s="220" t="str">
        <f>IF(AH59&gt;=AI60,AH59-AI60,"")</f>
        <v/>
      </c>
      <c r="AI61" s="221">
        <f>IF(AH59&lt;AI60,AI60-AH59,"")</f>
        <v>21687</v>
      </c>
      <c r="AJ61" s="220">
        <f>IF(AJ59&gt;=AK60,AJ59-AK60,"")</f>
        <v>950000</v>
      </c>
      <c r="AK61" s="221" t="str">
        <f>IF(AJ59&lt;AK60,AK60-AJ59,"")</f>
        <v/>
      </c>
      <c r="AL61" s="220">
        <f>IF(AL59&gt;=AM60,AL59-AM60,"")</f>
        <v>112480</v>
      </c>
      <c r="AM61" s="221" t="str">
        <f>IF(AL59&lt;AM60,AM60-AL59,"")</f>
        <v/>
      </c>
      <c r="AN61" s="220">
        <f>IF(AN59&gt;=AO60,AN59-AO60,"")</f>
        <v>20000</v>
      </c>
      <c r="AO61" s="221" t="str">
        <f>IF(AN59&lt;AO60,AO60-AN59,"")</f>
        <v/>
      </c>
      <c r="AP61" s="220" t="str">
        <f>IF(AP59&gt;=AQ60,AP59-AQ60,"")</f>
        <v/>
      </c>
      <c r="AQ61" s="221">
        <f>IF(AP59&lt;AQ60,AQ60-AP59,"")</f>
        <v>1082480</v>
      </c>
      <c r="AR61" s="220" t="str">
        <f>IF(AR59&gt;=AS60,AR59-AS60,"")</f>
        <v/>
      </c>
      <c r="AS61" s="221">
        <f>IF(AR59&lt;AS60,AS60-AR59,"")</f>
        <v>721115.91517713771</v>
      </c>
      <c r="AT61" s="220" t="str">
        <f>IF(AT59&gt;=AU60,AT59-AU60,"")</f>
        <v/>
      </c>
      <c r="AU61" s="221">
        <f>IF(AT59&lt;AU60,AU60-AT59,"")</f>
        <v>144405.47482286231</v>
      </c>
      <c r="AV61" s="220">
        <f>IF(AV59&gt;=AW60,AV59-AW60,"")</f>
        <v>0</v>
      </c>
      <c r="AW61" s="377" t="str">
        <f>IF(AV59&lt;AW60,AW60-AV59,"")</f>
        <v/>
      </c>
      <c r="AX61" s="220">
        <f>IF(AX59&gt;=AY60,AX59-AY60,"")</f>
        <v>1800</v>
      </c>
      <c r="AY61" s="221" t="str">
        <f>IF(AX59&lt;AY60,AY60-AX59,"")</f>
        <v/>
      </c>
      <c r="AZ61" s="203">
        <f>SUM(AZ59:AZ60)</f>
        <v>0</v>
      </c>
    </row>
    <row r="62" spans="1:53" s="202" customFormat="1">
      <c r="A62" s="235"/>
      <c r="B62" s="207" t="s">
        <v>172</v>
      </c>
      <c r="C62" s="207"/>
      <c r="D62" s="216"/>
      <c r="E62" s="217"/>
      <c r="F62" s="216"/>
      <c r="G62" s="217"/>
      <c r="H62" s="216"/>
      <c r="I62" s="217"/>
      <c r="J62" s="216"/>
      <c r="K62" s="217"/>
      <c r="L62" s="216"/>
      <c r="M62" s="217"/>
      <c r="N62" s="216"/>
      <c r="O62" s="217"/>
      <c r="P62" s="216"/>
      <c r="Q62" s="217"/>
      <c r="R62" s="216"/>
      <c r="S62" s="217"/>
      <c r="T62" s="216"/>
      <c r="U62" s="217"/>
      <c r="V62" s="216"/>
      <c r="W62" s="217"/>
      <c r="X62" s="216"/>
      <c r="Y62" s="217"/>
      <c r="Z62" s="216"/>
      <c r="AA62" s="217"/>
      <c r="AB62" s="216"/>
      <c r="AC62" s="217"/>
      <c r="AD62" s="216"/>
      <c r="AE62" s="217"/>
      <c r="AF62" s="216"/>
      <c r="AG62" s="217"/>
      <c r="AH62" s="216"/>
      <c r="AI62" s="217"/>
      <c r="AJ62" s="216"/>
      <c r="AK62" s="217"/>
      <c r="AL62" s="216"/>
      <c r="AM62" s="217"/>
      <c r="AN62" s="216"/>
      <c r="AO62" s="217"/>
      <c r="AP62" s="216"/>
      <c r="AQ62" s="217"/>
      <c r="AR62" s="216"/>
      <c r="AS62" s="246">
        <f>D128</f>
        <v>1729.4451840827362</v>
      </c>
      <c r="AT62" s="216"/>
      <c r="AU62" s="246">
        <f>D129</f>
        <v>16197.244815917258</v>
      </c>
      <c r="AV62" s="216"/>
      <c r="AW62" s="375"/>
      <c r="AX62" s="216"/>
      <c r="AY62" s="217"/>
      <c r="AZ62" s="193">
        <f>+D62-E62+F62-G62+H62-I62+J62-K62+L62-M62+N62-O62+P62-Q62+R62-S62+T62-U62+V62-W62+X62-Y62+Z62-AA62+AB62-AC62+AD62-AE62+AF62-AG62+AH62-AI62+AJ62-AK62+AL62-AM62+AN62-AO62+AP62-AQ62+AR62-AS62+AT62-AU62+AV62-AW62+AX62-AY62</f>
        <v>-17926.689999999995</v>
      </c>
      <c r="BA62" s="203"/>
    </row>
    <row r="63" spans="1:53" s="202" customFormat="1" ht="13.5" thickBot="1">
      <c r="A63" s="236"/>
      <c r="B63" s="275" t="s">
        <v>839</v>
      </c>
      <c r="C63" s="237"/>
      <c r="D63" s="238">
        <f>D61+D62</f>
        <v>51670.100000000006</v>
      </c>
      <c r="E63" s="239"/>
      <c r="F63" s="238"/>
      <c r="G63" s="239"/>
      <c r="H63" s="238"/>
      <c r="I63" s="239"/>
      <c r="J63" s="238"/>
      <c r="K63" s="239"/>
      <c r="L63" s="238"/>
      <c r="M63" s="239"/>
      <c r="N63" s="238"/>
      <c r="O63" s="239"/>
      <c r="P63" s="238"/>
      <c r="Q63" s="239"/>
      <c r="R63" s="238"/>
      <c r="S63" s="239"/>
      <c r="T63" s="238"/>
      <c r="U63" s="239"/>
      <c r="V63" s="238"/>
      <c r="W63" s="239"/>
      <c r="X63" s="238"/>
      <c r="Y63" s="239"/>
      <c r="Z63" s="238"/>
      <c r="AA63" s="239"/>
      <c r="AB63" s="238"/>
      <c r="AC63" s="239"/>
      <c r="AD63" s="238">
        <f>AD61+AD62</f>
        <v>829977.98</v>
      </c>
      <c r="AE63" s="239"/>
      <c r="AF63" s="238"/>
      <c r="AG63" s="239"/>
      <c r="AH63" s="238"/>
      <c r="AI63" s="239"/>
      <c r="AJ63" s="238">
        <f>AJ61+AJ62</f>
        <v>950000</v>
      </c>
      <c r="AK63" s="239"/>
      <c r="AL63" s="238">
        <f>AL61+AL62</f>
        <v>112480</v>
      </c>
      <c r="AM63" s="239"/>
      <c r="AN63" s="238">
        <f>AN61+AN62</f>
        <v>20000</v>
      </c>
      <c r="AO63" s="239"/>
      <c r="AP63" s="238"/>
      <c r="AQ63" s="239">
        <f>AQ61+AQ62</f>
        <v>1082480</v>
      </c>
      <c r="AR63" s="238"/>
      <c r="AS63" s="239">
        <f>AS61+AS62</f>
        <v>722845.36036122043</v>
      </c>
      <c r="AT63" s="238"/>
      <c r="AU63" s="239">
        <f>AU61+AU62</f>
        <v>160602.71963877956</v>
      </c>
      <c r="AV63" s="238"/>
      <c r="AW63" s="378" t="e">
        <f>AW61+AW62-AV62</f>
        <v>#VALUE!</v>
      </c>
      <c r="AX63" s="238">
        <f>AX61+AX62</f>
        <v>1800</v>
      </c>
      <c r="AY63" s="239"/>
      <c r="AZ63" s="193" t="e">
        <f>+D63-E63+F63-G63+H63-I63+J63-K63+L63-M63+N63-O63+P63-Q63+R63-S63+T63-U63+V63-W63+X63-Y63+Z63-AA63+AB63-AC63+AD63-AE63+AF63-AG63+AH63-AI63+AJ63-AK63+AL63-AM63+AN63-AO63+AP63-AQ63+AR63-AS63+AT63-AU63+AV63-AW63+AX63-AY63</f>
        <v>#VALUE!</v>
      </c>
    </row>
    <row r="64" spans="1:53">
      <c r="B64" s="158"/>
      <c r="E64" s="113"/>
      <c r="F64" s="159"/>
      <c r="AZ64" s="113"/>
    </row>
    <row r="65" spans="2:70">
      <c r="E65" s="43"/>
      <c r="F65" s="113"/>
    </row>
    <row r="66" spans="2:70">
      <c r="BR66" s="113"/>
    </row>
    <row r="67" spans="2:70" ht="24.75">
      <c r="B67" s="147" t="s">
        <v>964</v>
      </c>
      <c r="F67" s="113"/>
    </row>
    <row r="69" spans="2:70" ht="19.5">
      <c r="B69" s="148" t="s">
        <v>51</v>
      </c>
      <c r="C69" s="148"/>
      <c r="D69" s="368">
        <v>2015</v>
      </c>
      <c r="E69" s="368">
        <v>2014</v>
      </c>
      <c r="F69" s="338" t="s">
        <v>894</v>
      </c>
    </row>
    <row r="70" spans="2:70">
      <c r="B70" s="35"/>
      <c r="F70" s="331"/>
    </row>
    <row r="71" spans="2:70">
      <c r="B71" s="33" t="s">
        <v>52</v>
      </c>
      <c r="F71" s="331"/>
    </row>
    <row r="72" spans="2:70">
      <c r="B72" s="33" t="s">
        <v>53</v>
      </c>
      <c r="F72" s="331"/>
      <c r="H72" s="35"/>
      <c r="AF72" s="34"/>
      <c r="AG72" s="34"/>
    </row>
    <row r="73" spans="2:70">
      <c r="B73" s="276" t="s">
        <v>670</v>
      </c>
      <c r="C73" s="177"/>
      <c r="D73" s="155">
        <f>$D$59-$E$60</f>
        <v>51670.100000000006</v>
      </c>
      <c r="E73" s="324">
        <f>D8</f>
        <v>15516.089999999989</v>
      </c>
      <c r="F73" s="332">
        <f>D73-E73</f>
        <v>36154.010000000017</v>
      </c>
      <c r="G73" s="77"/>
      <c r="H73" s="64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5"/>
      <c r="AG73" s="75"/>
    </row>
    <row r="74" spans="2:70">
      <c r="B74" s="276" t="s">
        <v>703</v>
      </c>
      <c r="C74" s="177"/>
      <c r="D74" s="155">
        <f>$AD$59-$AE$60</f>
        <v>829977.98</v>
      </c>
      <c r="E74" s="324">
        <f>AD8</f>
        <v>820025.34</v>
      </c>
      <c r="F74" s="332">
        <f>D74-E74</f>
        <v>9952.640000000014</v>
      </c>
      <c r="G74" s="77"/>
      <c r="H74" s="64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5"/>
      <c r="AG74" s="75"/>
    </row>
    <row r="75" spans="2:70">
      <c r="B75" s="276" t="s">
        <v>32</v>
      </c>
      <c r="C75" s="177" t="s">
        <v>707</v>
      </c>
      <c r="D75" s="155">
        <f>$AX$59-$AY$60</f>
        <v>1800</v>
      </c>
      <c r="E75" s="324">
        <f>AX8</f>
        <v>29979.96</v>
      </c>
      <c r="F75" s="332">
        <f>D75-E75</f>
        <v>-28179.96</v>
      </c>
      <c r="G75" s="77"/>
      <c r="H75" s="64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5"/>
      <c r="AG75" s="75"/>
    </row>
    <row r="76" spans="2:70">
      <c r="B76" s="33" t="s">
        <v>60</v>
      </c>
      <c r="D76" s="281">
        <f>SUM(D73:D75)</f>
        <v>883448.08</v>
      </c>
      <c r="E76" s="329">
        <f>SUM(E73:E75)</f>
        <v>865521.3899999999</v>
      </c>
      <c r="F76" s="333">
        <f>D76-E76</f>
        <v>17926.690000000061</v>
      </c>
      <c r="H76" s="64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5"/>
      <c r="AG76" s="75"/>
    </row>
    <row r="77" spans="2:70">
      <c r="B77" s="35"/>
      <c r="D77" s="77"/>
      <c r="E77" s="93"/>
      <c r="F77" s="334"/>
      <c r="H77" s="64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5"/>
      <c r="AG77" s="75"/>
    </row>
    <row r="78" spans="2:70">
      <c r="B78" s="33" t="s">
        <v>61</v>
      </c>
      <c r="C78" s="177" t="s">
        <v>781</v>
      </c>
      <c r="D78" s="77"/>
      <c r="E78" s="93"/>
      <c r="F78" s="334"/>
      <c r="H78" s="64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5"/>
      <c r="AG78" s="75"/>
    </row>
    <row r="79" spans="2:70">
      <c r="B79" s="35" t="s">
        <v>63</v>
      </c>
      <c r="C79" s="177"/>
      <c r="D79" s="155">
        <f>$AJ$59-$AK$60</f>
        <v>950000</v>
      </c>
      <c r="E79" s="324">
        <f>AJ8</f>
        <v>950000</v>
      </c>
      <c r="F79" s="332">
        <f>D79-E79</f>
        <v>0</v>
      </c>
      <c r="G79" s="77"/>
      <c r="H79" s="64"/>
    </row>
    <row r="80" spans="2:70">
      <c r="B80" s="36" t="s">
        <v>64</v>
      </c>
      <c r="C80" s="177"/>
      <c r="D80" s="155">
        <f>$AL$59-$AM$60</f>
        <v>112480</v>
      </c>
      <c r="E80" s="324">
        <f>AL8</f>
        <v>112480</v>
      </c>
      <c r="F80" s="332">
        <f>D80-E80</f>
        <v>0</v>
      </c>
      <c r="G80" s="77"/>
    </row>
    <row r="81" spans="2:33">
      <c r="B81" s="36" t="s">
        <v>339</v>
      </c>
      <c r="C81" s="177"/>
      <c r="D81" s="155">
        <f>$AN$59-$AO$60</f>
        <v>20000</v>
      </c>
      <c r="E81" s="324">
        <f>AN8</f>
        <v>20000</v>
      </c>
      <c r="F81" s="332">
        <f>D81-E81</f>
        <v>0</v>
      </c>
      <c r="G81" s="77"/>
    </row>
    <row r="82" spans="2:33">
      <c r="B82" s="38" t="s">
        <v>66</v>
      </c>
      <c r="D82" s="281">
        <f>SUM(D79:D81)</f>
        <v>1082480</v>
      </c>
      <c r="E82" s="329">
        <f>SUM(E79:E81)</f>
        <v>1082480</v>
      </c>
      <c r="F82" s="333">
        <f>D82-E82</f>
        <v>0</v>
      </c>
    </row>
    <row r="83" spans="2:33">
      <c r="B83" s="35"/>
      <c r="D83" s="77"/>
      <c r="E83" s="93"/>
      <c r="F83" s="334"/>
    </row>
    <row r="84" spans="2:33">
      <c r="B84" s="35"/>
      <c r="D84" s="77"/>
      <c r="E84" s="93"/>
      <c r="F84" s="334"/>
    </row>
    <row r="85" spans="2:33" ht="13.5" thickBot="1">
      <c r="B85" s="38" t="s">
        <v>67</v>
      </c>
      <c r="D85" s="156">
        <f>D76+D82</f>
        <v>1965928.08</v>
      </c>
      <c r="E85" s="330">
        <f>E76+E82</f>
        <v>1948001.39</v>
      </c>
      <c r="F85" s="335">
        <f>D85-E85</f>
        <v>17926.690000000177</v>
      </c>
      <c r="AF85" s="75"/>
      <c r="AG85" s="75"/>
    </row>
    <row r="86" spans="2:33" ht="13.5" thickTop="1">
      <c r="B86" s="35"/>
      <c r="D86" s="77"/>
      <c r="E86" s="93"/>
      <c r="F86" s="334"/>
      <c r="AF86" s="75"/>
      <c r="AG86" s="75"/>
    </row>
    <row r="87" spans="2:33">
      <c r="B87" s="35"/>
      <c r="D87" s="77"/>
      <c r="E87" s="93"/>
      <c r="F87" s="334"/>
      <c r="AF87" s="75"/>
      <c r="AG87" s="75"/>
    </row>
    <row r="88" spans="2:33">
      <c r="B88" s="33" t="s">
        <v>68</v>
      </c>
      <c r="D88" s="77"/>
      <c r="E88" s="93"/>
      <c r="F88" s="334"/>
      <c r="AF88" s="75"/>
      <c r="AG88" s="75"/>
    </row>
    <row r="89" spans="2:33">
      <c r="B89" s="35" t="s">
        <v>69</v>
      </c>
      <c r="C89" s="177" t="s">
        <v>792</v>
      </c>
      <c r="D89" s="155">
        <f>-$AV$59+$AW$60</f>
        <v>0</v>
      </c>
      <c r="E89" s="324">
        <f>AW8</f>
        <v>0</v>
      </c>
      <c r="F89" s="332">
        <f>D89-E89</f>
        <v>0</v>
      </c>
      <c r="G89" s="77"/>
      <c r="AF89" s="75"/>
      <c r="AG89" s="75"/>
    </row>
    <row r="90" spans="2:33">
      <c r="B90" s="33" t="s">
        <v>70</v>
      </c>
      <c r="D90" s="281">
        <f>SUM(D89:D89)</f>
        <v>0</v>
      </c>
      <c r="E90" s="329">
        <f>SUM(E89:E89)</f>
        <v>0</v>
      </c>
      <c r="F90" s="333">
        <f>D90-E90</f>
        <v>0</v>
      </c>
      <c r="H90" s="34"/>
    </row>
    <row r="91" spans="2:33">
      <c r="B91" s="35"/>
      <c r="D91" s="77"/>
      <c r="E91" s="93"/>
      <c r="F91" s="334"/>
      <c r="G91" s="152"/>
    </row>
    <row r="92" spans="2:33">
      <c r="B92" s="33" t="s">
        <v>71</v>
      </c>
      <c r="C92" s="177" t="s">
        <v>793</v>
      </c>
      <c r="D92" s="77"/>
      <c r="E92" s="93"/>
      <c r="F92" s="334"/>
    </row>
    <row r="93" spans="2:33">
      <c r="B93" s="35" t="s">
        <v>72</v>
      </c>
      <c r="C93" s="177"/>
      <c r="D93" s="155">
        <f>-$AP$59+$AQ$60</f>
        <v>1082480</v>
      </c>
      <c r="E93" s="324">
        <f>AQ8</f>
        <v>1082480</v>
      </c>
      <c r="F93" s="332">
        <f>D93-E93</f>
        <v>0</v>
      </c>
      <c r="G93" s="77"/>
      <c r="H93" s="77"/>
    </row>
    <row r="94" spans="2:33">
      <c r="B94" s="276" t="s">
        <v>687</v>
      </c>
      <c r="C94" s="177"/>
      <c r="D94" s="155">
        <f>AS63</f>
        <v>722845.36036122043</v>
      </c>
      <c r="E94" s="324">
        <f>AS8</f>
        <v>721115.91517713771</v>
      </c>
      <c r="F94" s="332">
        <f>D94-E94</f>
        <v>1729.4451840827242</v>
      </c>
      <c r="G94" s="77"/>
    </row>
    <row r="95" spans="2:33">
      <c r="B95" s="276" t="s">
        <v>692</v>
      </c>
      <c r="C95" s="177"/>
      <c r="D95" s="155">
        <f>AU63</f>
        <v>160602.71963877956</v>
      </c>
      <c r="E95" s="324">
        <f>AU8</f>
        <v>144405.47482286231</v>
      </c>
      <c r="F95" s="332">
        <f>D95-E95</f>
        <v>16197.244815917249</v>
      </c>
      <c r="G95" s="77"/>
    </row>
    <row r="96" spans="2:33">
      <c r="B96" s="38" t="s">
        <v>75</v>
      </c>
      <c r="D96" s="281">
        <f>SUM(D93:D95)</f>
        <v>1965928.0799999998</v>
      </c>
      <c r="E96" s="281">
        <f>SUM(E93:E95)</f>
        <v>1948001.39</v>
      </c>
      <c r="F96" s="336">
        <f>D96-E96</f>
        <v>17926.689999999944</v>
      </c>
    </row>
    <row r="97" spans="2:31">
      <c r="B97" s="35"/>
      <c r="D97" s="77"/>
      <c r="E97" s="77"/>
      <c r="F97" s="337"/>
    </row>
    <row r="98" spans="2:31">
      <c r="B98" s="35"/>
      <c r="D98" s="77"/>
      <c r="E98" s="77"/>
      <c r="F98" s="337"/>
    </row>
    <row r="99" spans="2:31" ht="13.5" thickBot="1">
      <c r="B99" s="33" t="s">
        <v>77</v>
      </c>
      <c r="D99" s="156">
        <f>D90+D96</f>
        <v>1965928.0799999998</v>
      </c>
      <c r="E99" s="156">
        <f>E90+E96</f>
        <v>1948001.39</v>
      </c>
      <c r="F99" s="342">
        <f>D99-E99</f>
        <v>17926.689999999944</v>
      </c>
    </row>
    <row r="100" spans="2:31" ht="13.5" thickTop="1">
      <c r="B100" s="35"/>
      <c r="D100" s="77"/>
      <c r="E100" s="77"/>
    </row>
    <row r="101" spans="2:31">
      <c r="D101" s="77"/>
      <c r="E101" s="77"/>
    </row>
    <row r="102" spans="2:31" ht="24.75">
      <c r="B102" s="147" t="s">
        <v>949</v>
      </c>
      <c r="D102" s="77"/>
      <c r="E102" s="77"/>
    </row>
    <row r="103" spans="2:31" ht="13.5" thickBot="1">
      <c r="D103" s="77"/>
      <c r="E103" s="77"/>
      <c r="F103" s="35"/>
      <c r="G103" s="73"/>
    </row>
    <row r="104" spans="2:31" ht="20.25" thickBot="1">
      <c r="B104" s="148" t="s">
        <v>313</v>
      </c>
      <c r="C104" s="148"/>
      <c r="D104" s="368">
        <v>2015</v>
      </c>
      <c r="E104" s="368">
        <v>2014</v>
      </c>
      <c r="F104" s="368" t="s">
        <v>835</v>
      </c>
      <c r="G104" s="368" t="s">
        <v>314</v>
      </c>
      <c r="H104" s="340" t="s">
        <v>315</v>
      </c>
      <c r="I104" s="341" t="s">
        <v>950</v>
      </c>
    </row>
    <row r="105" spans="2:31">
      <c r="B105" s="34" t="s">
        <v>153</v>
      </c>
      <c r="C105" s="177"/>
      <c r="D105" s="77"/>
      <c r="E105" s="77"/>
      <c r="F105" s="35"/>
      <c r="G105" s="35"/>
      <c r="I105" s="325"/>
      <c r="K105" t="s">
        <v>698</v>
      </c>
      <c r="L105" s="277" t="s">
        <v>773</v>
      </c>
      <c r="M105" s="277" t="s">
        <v>774</v>
      </c>
      <c r="N105" s="277" t="s">
        <v>795</v>
      </c>
    </row>
    <row r="106" spans="2:31">
      <c r="B106" t="s">
        <v>154</v>
      </c>
      <c r="C106" s="177" t="s">
        <v>378</v>
      </c>
      <c r="D106" s="155">
        <f>-$AB$59+$AC$60</f>
        <v>24800</v>
      </c>
      <c r="E106" s="155">
        <v>25000</v>
      </c>
      <c r="F106" s="155">
        <v>39000</v>
      </c>
      <c r="G106" s="155">
        <f>D106-F106</f>
        <v>-14200</v>
      </c>
      <c r="H106" s="151">
        <f>IF(F106=0,"---",G106/F106)</f>
        <v>-0.36410256410256409</v>
      </c>
      <c r="I106" s="326">
        <v>30000</v>
      </c>
      <c r="K106" s="155">
        <v>200</v>
      </c>
      <c r="L106" s="155">
        <f>D106/K106</f>
        <v>124</v>
      </c>
      <c r="M106" s="155">
        <f>F106/K106</f>
        <v>195</v>
      </c>
      <c r="N106" s="289">
        <v>2014</v>
      </c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</row>
    <row r="107" spans="2:31">
      <c r="B107" t="s">
        <v>618</v>
      </c>
      <c r="C107" s="177"/>
      <c r="D107" s="155">
        <f>-$AF$59+$AG$60</f>
        <v>9997.17</v>
      </c>
      <c r="E107" s="155">
        <v>23438.3</v>
      </c>
      <c r="F107" s="155">
        <v>21000</v>
      </c>
      <c r="G107" s="155">
        <f>D107-F107</f>
        <v>-11002.83</v>
      </c>
      <c r="H107" s="151">
        <f>IF(F107=0,"---",G107/F107)</f>
        <v>-0.52394428571428575</v>
      </c>
      <c r="I107" s="326">
        <v>9500</v>
      </c>
      <c r="J107" s="155"/>
      <c r="K107" s="155">
        <v>200</v>
      </c>
      <c r="L107" s="155">
        <f>E106/K107</f>
        <v>125</v>
      </c>
      <c r="M107" s="155">
        <v>110</v>
      </c>
      <c r="N107" s="289">
        <v>2013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</row>
    <row r="108" spans="2:31">
      <c r="B108" s="79" t="s">
        <v>355</v>
      </c>
      <c r="C108" s="177" t="s">
        <v>379</v>
      </c>
      <c r="D108" s="155">
        <f>-$AH$59+$AI$60</f>
        <v>21687</v>
      </c>
      <c r="E108" s="324">
        <v>3203</v>
      </c>
      <c r="F108" s="155">
        <v>3000</v>
      </c>
      <c r="G108" s="155">
        <f>D108-F108</f>
        <v>18687</v>
      </c>
      <c r="H108" s="151">
        <f>IF(F108=0,"---",G108/F108)</f>
        <v>6.2290000000000001</v>
      </c>
      <c r="I108" s="326">
        <v>1000</v>
      </c>
      <c r="J108" s="155"/>
      <c r="K108" s="155">
        <v>300</v>
      </c>
      <c r="L108" s="155">
        <v>120</v>
      </c>
      <c r="M108" s="155">
        <v>120</v>
      </c>
      <c r="N108" s="289">
        <v>2015</v>
      </c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</row>
    <row r="109" spans="2:31" ht="16.5" thickBot="1">
      <c r="B109" s="154" t="s">
        <v>158</v>
      </c>
      <c r="C109" s="306"/>
      <c r="D109" s="156">
        <f>SUM(D106:D108)</f>
        <v>56484.17</v>
      </c>
      <c r="E109" s="330">
        <f>SUM(E106:E108)</f>
        <v>51641.3</v>
      </c>
      <c r="F109" s="156">
        <f>SUM(F106:F108)</f>
        <v>63000</v>
      </c>
      <c r="G109" s="156">
        <f>SUM(G106:G108)</f>
        <v>-6515.8300000000017</v>
      </c>
      <c r="H109" s="153">
        <f>IF(F109=0,"---",G109/F109)</f>
        <v>-0.10342587301587304</v>
      </c>
      <c r="I109" s="327">
        <f>SUM(I106:I108)</f>
        <v>40500</v>
      </c>
      <c r="J109" s="160"/>
      <c r="K109" s="160"/>
      <c r="L109" s="160"/>
      <c r="M109" s="160"/>
      <c r="N109" s="29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</row>
    <row r="110" spans="2:31" ht="13.5" thickTop="1">
      <c r="C110" s="177"/>
      <c r="D110" s="77"/>
      <c r="E110" s="93"/>
      <c r="F110" s="77"/>
      <c r="G110" s="77"/>
      <c r="I110" s="328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</row>
    <row r="111" spans="2:31">
      <c r="B111" s="34" t="s">
        <v>924</v>
      </c>
      <c r="C111" s="177"/>
      <c r="D111" s="77"/>
      <c r="E111" s="93"/>
      <c r="F111" s="77"/>
      <c r="G111" s="77"/>
      <c r="I111" s="328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</row>
    <row r="112" spans="2:31">
      <c r="B112" t="s">
        <v>485</v>
      </c>
      <c r="C112" s="177" t="s">
        <v>380</v>
      </c>
      <c r="D112" s="155">
        <f>$F$59-$G$60</f>
        <v>5000</v>
      </c>
      <c r="E112" s="324">
        <v>5000</v>
      </c>
      <c r="F112" s="155">
        <v>10000</v>
      </c>
      <c r="G112" s="155">
        <f>D112-F112</f>
        <v>-5000</v>
      </c>
      <c r="H112" s="151">
        <f t="shared" ref="H112:H123" si="1">IF(F112=0,"---",G112/F112)</f>
        <v>-0.5</v>
      </c>
      <c r="I112" s="326">
        <v>10000</v>
      </c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</row>
    <row r="113" spans="2:31">
      <c r="B113" t="s">
        <v>488</v>
      </c>
      <c r="C113" s="177" t="s">
        <v>428</v>
      </c>
      <c r="D113" s="155">
        <f>$H$59-$I$60</f>
        <v>5692.5</v>
      </c>
      <c r="E113" s="324">
        <v>993.2</v>
      </c>
      <c r="F113" s="155">
        <v>5000</v>
      </c>
      <c r="G113" s="155">
        <f t="shared" ref="G113:G121" si="2">D113-F113</f>
        <v>692.5</v>
      </c>
      <c r="H113" s="151">
        <f t="shared" si="1"/>
        <v>0.13850000000000001</v>
      </c>
      <c r="I113" s="326">
        <v>5000</v>
      </c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</row>
    <row r="114" spans="2:31">
      <c r="B114" t="s">
        <v>163</v>
      </c>
      <c r="C114" s="177" t="s">
        <v>430</v>
      </c>
      <c r="D114" s="155">
        <f>$J$59-$K$60</f>
        <v>2727.4</v>
      </c>
      <c r="E114" s="324">
        <v>14367</v>
      </c>
      <c r="F114" s="155">
        <v>10000</v>
      </c>
      <c r="G114" s="155">
        <f t="shared" si="2"/>
        <v>-7272.6</v>
      </c>
      <c r="H114" s="151">
        <f t="shared" si="1"/>
        <v>-0.72726000000000002</v>
      </c>
      <c r="I114" s="326">
        <v>10000</v>
      </c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</row>
    <row r="115" spans="2:31">
      <c r="B115" s="277" t="s">
        <v>637</v>
      </c>
      <c r="C115" s="177" t="s">
        <v>486</v>
      </c>
      <c r="D115" s="155">
        <f>$Z$59-$AA$60</f>
        <v>14083</v>
      </c>
      <c r="E115" s="324">
        <v>5000</v>
      </c>
      <c r="F115" s="155">
        <v>10000</v>
      </c>
      <c r="G115" s="155">
        <f>D115-F115</f>
        <v>4083</v>
      </c>
      <c r="H115" s="151">
        <f>IF(F115=0,"---",G115/F115)</f>
        <v>0.4083</v>
      </c>
      <c r="I115" s="326">
        <v>8000</v>
      </c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</row>
    <row r="116" spans="2:31">
      <c r="B116" s="277" t="s">
        <v>684</v>
      </c>
      <c r="C116" s="177" t="s">
        <v>501</v>
      </c>
      <c r="D116" s="155">
        <f>$X$59-$Y$60</f>
        <v>0</v>
      </c>
      <c r="E116" s="324">
        <v>117666.08</v>
      </c>
      <c r="F116" s="155">
        <v>15000</v>
      </c>
      <c r="G116" s="155">
        <f>D116-F116</f>
        <v>-15000</v>
      </c>
      <c r="H116" s="151">
        <f>IF(F116=0,"---",G116/F116)</f>
        <v>-1</v>
      </c>
      <c r="I116" s="326">
        <v>110000</v>
      </c>
      <c r="J116" s="155"/>
      <c r="K116" t="s">
        <v>694</v>
      </c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</row>
    <row r="117" spans="2:31">
      <c r="B117" t="s">
        <v>166</v>
      </c>
      <c r="C117" s="177" t="s">
        <v>502</v>
      </c>
      <c r="D117" s="155">
        <f>$P$59-$Q$60</f>
        <v>6965.58</v>
      </c>
      <c r="E117" s="324">
        <v>4026.2</v>
      </c>
      <c r="F117" s="155">
        <v>3000</v>
      </c>
      <c r="G117" s="155">
        <f t="shared" si="2"/>
        <v>3965.58</v>
      </c>
      <c r="H117" s="151">
        <f t="shared" si="1"/>
        <v>1.32186</v>
      </c>
      <c r="I117" s="326">
        <v>3500</v>
      </c>
      <c r="J117" s="155"/>
      <c r="K117" s="155">
        <f>M108*6</f>
        <v>720</v>
      </c>
      <c r="L117" s="155" t="s">
        <v>696</v>
      </c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</row>
    <row r="118" spans="2:31">
      <c r="B118" t="s">
        <v>170</v>
      </c>
      <c r="C118" s="177"/>
      <c r="D118" s="155">
        <f>$T$59-$U$60</f>
        <v>265</v>
      </c>
      <c r="E118" s="324">
        <v>235</v>
      </c>
      <c r="F118" s="155">
        <v>600</v>
      </c>
      <c r="G118" s="155">
        <f t="shared" si="2"/>
        <v>-335</v>
      </c>
      <c r="H118" s="151">
        <f t="shared" si="1"/>
        <v>-0.55833333333333335</v>
      </c>
      <c r="I118" s="326">
        <v>600</v>
      </c>
      <c r="J118" s="155"/>
      <c r="K118" s="282">
        <v>500</v>
      </c>
      <c r="L118" s="282" t="s">
        <v>697</v>
      </c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</row>
    <row r="119" spans="2:31">
      <c r="B119" s="277" t="s">
        <v>694</v>
      </c>
      <c r="C119" s="177"/>
      <c r="D119" s="155">
        <f>$L$59-$M$60</f>
        <v>1324</v>
      </c>
      <c r="E119" s="324">
        <v>1324</v>
      </c>
      <c r="F119" s="155">
        <v>1500</v>
      </c>
      <c r="G119" s="155">
        <f>D119-F119</f>
        <v>-176</v>
      </c>
      <c r="H119" s="151">
        <f>IF(F119=0,"---",G119/F119)</f>
        <v>-0.11733333333333333</v>
      </c>
      <c r="I119" s="326">
        <v>1500</v>
      </c>
      <c r="J119" s="155"/>
      <c r="K119" s="155">
        <f>K117+K118</f>
        <v>1220</v>
      </c>
      <c r="L119" s="155" t="s">
        <v>699</v>
      </c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</row>
    <row r="120" spans="2:31">
      <c r="B120" t="s">
        <v>95</v>
      </c>
      <c r="C120" s="177"/>
      <c r="D120" s="155">
        <f>$N$59-$O$60</f>
        <v>0</v>
      </c>
      <c r="E120" s="324">
        <v>3132</v>
      </c>
      <c r="F120" s="155">
        <v>3000</v>
      </c>
      <c r="G120" s="155">
        <f>D120-F120</f>
        <v>-3000</v>
      </c>
      <c r="H120" s="151">
        <f>IF(F120=0,"---",G120/F120)</f>
        <v>-1</v>
      </c>
      <c r="I120" s="326">
        <v>0</v>
      </c>
      <c r="J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</row>
    <row r="121" spans="2:31">
      <c r="B121" t="s">
        <v>169</v>
      </c>
      <c r="C121" s="177"/>
      <c r="D121" s="155">
        <f>$R$59-$S$60</f>
        <v>2500</v>
      </c>
      <c r="E121" s="324">
        <v>2500</v>
      </c>
      <c r="F121" s="155">
        <v>2500</v>
      </c>
      <c r="G121" s="155">
        <f t="shared" si="2"/>
        <v>0</v>
      </c>
      <c r="H121" s="151">
        <f t="shared" si="1"/>
        <v>0</v>
      </c>
      <c r="I121" s="326">
        <v>2500</v>
      </c>
      <c r="J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</row>
    <row r="122" spans="2:31">
      <c r="B122" t="s">
        <v>427</v>
      </c>
      <c r="C122" s="177" t="s">
        <v>506</v>
      </c>
      <c r="D122" s="155">
        <f>$V$59-$W$60</f>
        <v>0</v>
      </c>
      <c r="E122" s="324">
        <v>0</v>
      </c>
      <c r="F122" s="155">
        <v>0</v>
      </c>
      <c r="G122" s="155">
        <f>D122-F122</f>
        <v>0</v>
      </c>
      <c r="H122" s="151" t="str">
        <f>IF(F122=0,"---",G122/F122)</f>
        <v>---</v>
      </c>
      <c r="I122" s="326">
        <v>0</v>
      </c>
      <c r="J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</row>
    <row r="123" spans="2:31" ht="16.5" thickBot="1">
      <c r="B123" s="154" t="s">
        <v>931</v>
      </c>
      <c r="C123" s="306"/>
      <c r="D123" s="156">
        <f>SUM(D112:D122)</f>
        <v>38557.480000000003</v>
      </c>
      <c r="E123" s="330">
        <f>SUM(E112:E122)</f>
        <v>154243.48000000001</v>
      </c>
      <c r="F123" s="156">
        <f>SUM(F112:F122)</f>
        <v>60600</v>
      </c>
      <c r="G123" s="156">
        <f>SUM(G112:G122)</f>
        <v>-22042.519999999997</v>
      </c>
      <c r="H123" s="153">
        <f t="shared" si="1"/>
        <v>-0.36373795379537949</v>
      </c>
      <c r="I123" s="327">
        <f>SUM(I112:I122)</f>
        <v>151100</v>
      </c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</row>
    <row r="124" spans="2:31" ht="13.5" thickTop="1">
      <c r="C124" s="177"/>
      <c r="D124" s="77"/>
      <c r="E124" s="93"/>
      <c r="F124" s="77"/>
      <c r="G124" s="77"/>
      <c r="H124" s="77"/>
      <c r="I124" s="328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</row>
    <row r="125" spans="2:31" ht="16.5" thickBot="1">
      <c r="B125" s="154" t="s">
        <v>141</v>
      </c>
      <c r="C125" s="306"/>
      <c r="D125" s="156">
        <f>D109-D123</f>
        <v>17926.689999999995</v>
      </c>
      <c r="E125" s="330">
        <f>E109-E123</f>
        <v>-102602.18000000001</v>
      </c>
      <c r="F125" s="156">
        <f>F109-F123</f>
        <v>2400</v>
      </c>
      <c r="G125" s="156">
        <f>G109-G123</f>
        <v>15526.689999999995</v>
      </c>
      <c r="H125" s="153">
        <f>IF(F125=0,"---",G125/F125)</f>
        <v>6.4694541666666643</v>
      </c>
      <c r="I125" s="327">
        <f>I109-I123</f>
        <v>-110600</v>
      </c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</row>
    <row r="126" spans="2:31" ht="13.5" thickTop="1">
      <c r="C126" s="177"/>
      <c r="D126" s="77"/>
      <c r="E126" s="93"/>
      <c r="F126" s="77"/>
      <c r="G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</row>
    <row r="127" spans="2:31">
      <c r="B127" s="34" t="s">
        <v>172</v>
      </c>
      <c r="C127" s="177" t="s">
        <v>644</v>
      </c>
      <c r="D127" s="77"/>
      <c r="E127" s="93"/>
      <c r="F127" s="77"/>
      <c r="G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</row>
    <row r="128" spans="2:31">
      <c r="B128" t="s">
        <v>691</v>
      </c>
      <c r="C128" s="177"/>
      <c r="D128" s="155">
        <f>D227</f>
        <v>1729.4451840827362</v>
      </c>
      <c r="E128" s="324">
        <v>4097.2155362312978</v>
      </c>
      <c r="F128" s="155"/>
      <c r="G128" s="155"/>
      <c r="H128" s="151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</row>
    <row r="129" spans="2:31">
      <c r="B129" t="s">
        <v>693</v>
      </c>
      <c r="C129" s="177"/>
      <c r="D129" s="155">
        <f>D125-D128</f>
        <v>16197.244815917258</v>
      </c>
      <c r="E129" s="324">
        <v>-106699.3955362313</v>
      </c>
      <c r="F129" s="155"/>
      <c r="G129" s="155"/>
      <c r="H129" s="151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</row>
    <row r="130" spans="2:31" ht="16.5" thickBot="1">
      <c r="B130" s="154" t="s">
        <v>175</v>
      </c>
      <c r="C130" s="306"/>
      <c r="D130" s="156">
        <f>SUM(D128:D129)</f>
        <v>17926.689999999995</v>
      </c>
      <c r="E130" s="156">
        <f>SUM(E128:E129)</f>
        <v>-102602.18000000001</v>
      </c>
      <c r="F130" s="156"/>
      <c r="G130" s="156"/>
      <c r="H130" s="153"/>
      <c r="I130" s="156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</row>
    <row r="131" spans="2:31" ht="13.5" thickTop="1"/>
    <row r="132" spans="2:31" ht="13.5" thickBot="1">
      <c r="F132" s="113"/>
    </row>
    <row r="133" spans="2:31">
      <c r="B133" s="297" t="s">
        <v>821</v>
      </c>
      <c r="C133" s="298"/>
      <c r="D133" s="299">
        <f>ROUND(D85-D99,0)</f>
        <v>0</v>
      </c>
      <c r="E133" s="304" t="str">
        <f>IF(D133=0,"OK","Feil")</f>
        <v>OK</v>
      </c>
      <c r="F133" s="113"/>
    </row>
    <row r="134" spans="2:31" ht="13.5" thickBot="1">
      <c r="B134" s="300" t="s">
        <v>822</v>
      </c>
      <c r="C134" s="28"/>
      <c r="D134" s="301">
        <f>ROUND(D96-E96-D130,0)</f>
        <v>0</v>
      </c>
      <c r="E134" s="305" t="str">
        <f>IF(D134=0,"OK","Feil")</f>
        <v>OK</v>
      </c>
      <c r="F134" s="113"/>
    </row>
    <row r="135" spans="2:31">
      <c r="F135" s="77"/>
    </row>
    <row r="136" spans="2:31">
      <c r="F136" s="77"/>
    </row>
    <row r="137" spans="2:31">
      <c r="F137" s="77"/>
    </row>
    <row r="138" spans="2:31" ht="24.75">
      <c r="B138" s="147" t="s">
        <v>951</v>
      </c>
      <c r="D138" s="77"/>
      <c r="F138" s="77"/>
    </row>
    <row r="139" spans="2:31">
      <c r="B139" s="34"/>
      <c r="D139" s="77"/>
      <c r="F139" s="77"/>
      <c r="H139">
        <f>39000/300</f>
        <v>130</v>
      </c>
    </row>
    <row r="140" spans="2:31">
      <c r="B140" s="279" t="s">
        <v>794</v>
      </c>
      <c r="C140" s="277" t="s">
        <v>799</v>
      </c>
      <c r="D140" s="77"/>
      <c r="F140" s="77"/>
    </row>
    <row r="141" spans="2:31">
      <c r="B141" s="277" t="s">
        <v>952</v>
      </c>
      <c r="C141">
        <v>130</v>
      </c>
      <c r="D141" s="93">
        <f>C141*300</f>
        <v>39000</v>
      </c>
      <c r="F141" s="77"/>
    </row>
    <row r="142" spans="2:31">
      <c r="B142" s="277" t="s">
        <v>953</v>
      </c>
      <c r="C142">
        <f>76+6</f>
        <v>82</v>
      </c>
      <c r="D142" s="93">
        <f>C142*300</f>
        <v>24600</v>
      </c>
      <c r="F142" s="77"/>
    </row>
    <row r="143" spans="2:31">
      <c r="B143" s="277" t="s">
        <v>906</v>
      </c>
      <c r="C143">
        <v>1</v>
      </c>
      <c r="D143" s="93">
        <f>C143*200</f>
        <v>200</v>
      </c>
      <c r="F143" s="77"/>
    </row>
    <row r="144" spans="2:31">
      <c r="B144" s="344" t="s">
        <v>954</v>
      </c>
      <c r="C144" s="345">
        <v>100</v>
      </c>
      <c r="D144" s="346">
        <f>C144*300</f>
        <v>30000</v>
      </c>
      <c r="F144" s="77"/>
    </row>
    <row r="145" spans="2:6">
      <c r="B145" s="177"/>
      <c r="C145" s="177"/>
      <c r="D145" s="77"/>
      <c r="F145" s="77"/>
    </row>
    <row r="146" spans="2:6">
      <c r="D146" s="77"/>
      <c r="F146" s="77"/>
    </row>
    <row r="147" spans="2:6">
      <c r="B147" s="279" t="s">
        <v>796</v>
      </c>
      <c r="D147" s="77"/>
      <c r="F147" s="77"/>
    </row>
    <row r="148" spans="2:6" ht="13.5" thickBot="1">
      <c r="B148" s="287" t="s">
        <v>782</v>
      </c>
      <c r="C148" s="266"/>
      <c r="D148" s="175">
        <v>21687</v>
      </c>
      <c r="F148" s="77"/>
    </row>
    <row r="149" spans="2:6" ht="13.5" thickTop="1">
      <c r="D149" s="77"/>
      <c r="F149" s="77"/>
    </row>
    <row r="150" spans="2:6">
      <c r="D150" s="77"/>
      <c r="F150" s="77"/>
    </row>
    <row r="151" spans="2:6">
      <c r="B151" s="279" t="s">
        <v>797</v>
      </c>
      <c r="D151" s="77"/>
      <c r="F151" s="77"/>
    </row>
    <row r="152" spans="2:6">
      <c r="B152" s="277" t="s">
        <v>674</v>
      </c>
      <c r="D152" s="288">
        <v>5000</v>
      </c>
      <c r="F152" s="77"/>
    </row>
    <row r="153" spans="2:6" ht="13.5" thickBot="1">
      <c r="B153" s="199" t="s">
        <v>197</v>
      </c>
      <c r="C153" s="266"/>
      <c r="D153" s="175">
        <f>SUM(D152)</f>
        <v>5000</v>
      </c>
      <c r="F153" s="77"/>
    </row>
    <row r="154" spans="2:6" ht="13.5" thickTop="1">
      <c r="D154" s="77"/>
      <c r="F154" s="77"/>
    </row>
    <row r="155" spans="2:6">
      <c r="B155" s="344" t="s">
        <v>966</v>
      </c>
      <c r="C155" s="347"/>
      <c r="D155" s="346"/>
      <c r="F155" s="77"/>
    </row>
    <row r="156" spans="2:6">
      <c r="B156" s="348" t="s">
        <v>674</v>
      </c>
      <c r="C156" s="347"/>
      <c r="D156" s="346">
        <v>5000</v>
      </c>
      <c r="F156" s="77"/>
    </row>
    <row r="157" spans="2:6">
      <c r="B157" s="349" t="s">
        <v>798</v>
      </c>
      <c r="C157" s="350"/>
      <c r="D157" s="351">
        <v>5000</v>
      </c>
      <c r="F157" s="77"/>
    </row>
    <row r="158" spans="2:6">
      <c r="B158" s="348"/>
      <c r="C158" s="352" t="s">
        <v>197</v>
      </c>
      <c r="D158" s="353">
        <f>SUM(D156:D157)</f>
        <v>10000</v>
      </c>
      <c r="F158" s="77"/>
    </row>
    <row r="159" spans="2:6">
      <c r="B159" s="277"/>
      <c r="C159" s="34"/>
      <c r="D159" s="294"/>
      <c r="F159" s="77"/>
    </row>
    <row r="160" spans="2:6">
      <c r="D160" s="77"/>
      <c r="F160" s="77"/>
    </row>
    <row r="161" spans="2:6">
      <c r="B161" s="279" t="s">
        <v>800</v>
      </c>
      <c r="C161" s="82"/>
      <c r="D161" s="201"/>
      <c r="E161" s="65"/>
    </row>
    <row r="162" spans="2:6">
      <c r="B162" s="265" t="s">
        <v>628</v>
      </c>
      <c r="C162" s="82"/>
      <c r="D162" s="64">
        <v>5692.5</v>
      </c>
      <c r="E162" s="64"/>
      <c r="F162" s="77"/>
    </row>
    <row r="163" spans="2:6">
      <c r="B163" s="265"/>
      <c r="C163" s="82"/>
      <c r="D163" s="64"/>
      <c r="E163" s="64"/>
      <c r="F163" s="77"/>
    </row>
    <row r="164" spans="2:6" ht="13.5" thickBot="1">
      <c r="B164" s="199" t="s">
        <v>197</v>
      </c>
      <c r="C164" s="200"/>
      <c r="D164" s="175">
        <f>SUM(D162:D163)</f>
        <v>5692.5</v>
      </c>
      <c r="E164" s="64"/>
      <c r="F164" s="77"/>
    </row>
    <row r="165" spans="2:6" ht="13.5" thickTop="1">
      <c r="B165" s="34"/>
      <c r="C165" s="34"/>
      <c r="D165" s="77"/>
      <c r="E165" s="64"/>
      <c r="F165" s="77"/>
    </row>
    <row r="166" spans="2:6">
      <c r="B166" s="344" t="s">
        <v>966</v>
      </c>
      <c r="C166" s="352"/>
      <c r="D166" s="346"/>
      <c r="E166" s="64"/>
      <c r="F166" s="77"/>
    </row>
    <row r="167" spans="2:6">
      <c r="B167" s="348"/>
      <c r="C167" s="352"/>
      <c r="D167" s="346">
        <v>0</v>
      </c>
      <c r="F167" s="77"/>
    </row>
    <row r="168" spans="2:6">
      <c r="B168" s="349" t="s">
        <v>802</v>
      </c>
      <c r="C168" s="354"/>
      <c r="D168" s="351">
        <v>5000</v>
      </c>
      <c r="F168" s="77"/>
    </row>
    <row r="169" spans="2:6">
      <c r="B169" s="352"/>
      <c r="C169" s="352" t="s">
        <v>197</v>
      </c>
      <c r="D169" s="353">
        <f>SUM(D167:D168)</f>
        <v>5000</v>
      </c>
      <c r="F169" s="77"/>
    </row>
    <row r="170" spans="2:6">
      <c r="B170" s="34"/>
      <c r="C170" s="34"/>
      <c r="D170" s="294"/>
      <c r="F170" s="77"/>
    </row>
    <row r="171" spans="2:6">
      <c r="D171" s="77"/>
      <c r="F171" s="77"/>
    </row>
    <row r="172" spans="2:6">
      <c r="B172" s="279" t="s">
        <v>803</v>
      </c>
      <c r="D172" s="77"/>
      <c r="F172" s="77"/>
    </row>
    <row r="173" spans="2:6">
      <c r="B173" s="265" t="s">
        <v>969</v>
      </c>
      <c r="D173" s="77"/>
      <c r="F173" s="77"/>
    </row>
    <row r="174" spans="2:6">
      <c r="B174" s="278" t="s">
        <v>631</v>
      </c>
      <c r="C174" s="82"/>
      <c r="D174" s="64">
        <v>2727.4</v>
      </c>
      <c r="F174" s="77"/>
    </row>
    <row r="175" spans="2:6">
      <c r="B175" s="278"/>
      <c r="C175" s="82"/>
      <c r="D175" s="64"/>
    </row>
    <row r="176" spans="2:6">
      <c r="B176" s="277"/>
      <c r="C176" s="82"/>
      <c r="D176" s="64"/>
    </row>
    <row r="177" spans="2:31" ht="13.5" thickBot="1">
      <c r="B177" s="199" t="s">
        <v>197</v>
      </c>
      <c r="C177" s="200"/>
      <c r="D177" s="175">
        <f>SUM(D173:D176)</f>
        <v>2727.4</v>
      </c>
    </row>
    <row r="178" spans="2:31" ht="13.5" thickTop="1">
      <c r="B178" s="265"/>
      <c r="D178" s="77"/>
    </row>
    <row r="179" spans="2:31">
      <c r="B179" s="344" t="s">
        <v>966</v>
      </c>
      <c r="C179" s="347"/>
      <c r="D179" s="346">
        <v>10000</v>
      </c>
    </row>
    <row r="180" spans="2:31">
      <c r="B180" s="348" t="s">
        <v>804</v>
      </c>
      <c r="C180" s="352" t="s">
        <v>197</v>
      </c>
      <c r="D180" s="353"/>
    </row>
    <row r="181" spans="2:31">
      <c r="B181" s="265"/>
      <c r="D181" s="77"/>
    </row>
    <row r="182" spans="2:31">
      <c r="B182" s="265"/>
      <c r="D182" s="77"/>
    </row>
    <row r="183" spans="2:31">
      <c r="B183" s="279" t="s">
        <v>805</v>
      </c>
      <c r="D183" s="77"/>
    </row>
    <row r="184" spans="2:31">
      <c r="B184" s="177" t="s">
        <v>968</v>
      </c>
      <c r="D184" s="77">
        <v>9083</v>
      </c>
    </row>
    <row r="185" spans="2:31">
      <c r="B185" s="277" t="s">
        <v>921</v>
      </c>
      <c r="D185" s="77">
        <v>5000</v>
      </c>
    </row>
    <row r="186" spans="2:31" ht="13.5" thickBot="1">
      <c r="B186" s="199" t="s">
        <v>197</v>
      </c>
      <c r="C186" s="200"/>
      <c r="D186" s="175">
        <f>SUM(D184:D185)</f>
        <v>14083</v>
      </c>
    </row>
    <row r="187" spans="2:31" ht="13.5" thickTop="1">
      <c r="D187" s="77"/>
    </row>
    <row r="188" spans="2:31">
      <c r="B188" s="344" t="s">
        <v>966</v>
      </c>
      <c r="C188" s="347"/>
      <c r="D188" s="346"/>
      <c r="F188" s="34"/>
      <c r="G188" s="82"/>
      <c r="H188" s="82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</row>
    <row r="189" spans="2:31">
      <c r="B189" s="348" t="s">
        <v>967</v>
      </c>
      <c r="C189" s="352" t="s">
        <v>197</v>
      </c>
      <c r="D189" s="353">
        <v>8000</v>
      </c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</row>
    <row r="190" spans="2:31">
      <c r="D190" s="77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</row>
    <row r="191" spans="2:31">
      <c r="D191" s="77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</row>
    <row r="192" spans="2:31">
      <c r="B192" s="279" t="s">
        <v>806</v>
      </c>
      <c r="D192" s="77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</row>
    <row r="193" spans="2:31">
      <c r="B193" s="277"/>
      <c r="D193" s="77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</row>
    <row r="194" spans="2:31">
      <c r="B194" s="277"/>
      <c r="D194" s="77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</row>
    <row r="195" spans="2:31" ht="13.5" thickBot="1">
      <c r="B195" s="199" t="s">
        <v>197</v>
      </c>
      <c r="C195" s="200"/>
      <c r="D195" s="175">
        <f>SUM(D193:D194)</f>
        <v>0</v>
      </c>
    </row>
    <row r="196" spans="2:31" ht="13.5" thickTop="1"/>
    <row r="197" spans="2:31">
      <c r="B197" s="344" t="s">
        <v>966</v>
      </c>
      <c r="C197" s="347"/>
      <c r="D197" s="347"/>
      <c r="F197" s="34"/>
      <c r="G197" s="82"/>
      <c r="H197" s="82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</row>
    <row r="198" spans="2:31" s="455" customFormat="1">
      <c r="B198" s="396" t="s">
        <v>1055</v>
      </c>
      <c r="C198" s="396"/>
      <c r="D198" s="396">
        <v>100000</v>
      </c>
      <c r="G198" s="456"/>
      <c r="H198" s="456"/>
      <c r="I198" s="457"/>
      <c r="J198" s="457"/>
      <c r="K198" s="457"/>
      <c r="L198" s="457"/>
      <c r="M198" s="457"/>
      <c r="N198" s="457"/>
      <c r="O198" s="457"/>
      <c r="P198" s="457"/>
      <c r="Q198" s="457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</row>
    <row r="199" spans="2:31">
      <c r="B199" s="349" t="s">
        <v>926</v>
      </c>
      <c r="C199" s="350"/>
      <c r="D199" s="355">
        <v>10000</v>
      </c>
    </row>
    <row r="200" spans="2:31">
      <c r="B200" s="347"/>
      <c r="C200" s="352" t="s">
        <v>197</v>
      </c>
      <c r="D200" s="356">
        <f>SUM(D198:D199)</f>
        <v>110000</v>
      </c>
    </row>
    <row r="201" spans="2:31">
      <c r="C201" s="34"/>
      <c r="D201" s="296"/>
    </row>
    <row r="203" spans="2:31">
      <c r="B203" s="279" t="s">
        <v>809</v>
      </c>
      <c r="D203" s="77"/>
    </row>
    <row r="204" spans="2:31">
      <c r="B204" s="277" t="s">
        <v>679</v>
      </c>
      <c r="D204" s="77">
        <v>1005.25</v>
      </c>
      <c r="E204" s="77"/>
    </row>
    <row r="205" spans="2:31">
      <c r="B205" s="277" t="s">
        <v>927</v>
      </c>
      <c r="D205" s="77">
        <v>144.19999999999999</v>
      </c>
    </row>
    <row r="206" spans="2:31">
      <c r="B206" s="277" t="s">
        <v>879</v>
      </c>
      <c r="D206" s="77">
        <v>1740</v>
      </c>
    </row>
    <row r="207" spans="2:31">
      <c r="B207" s="382" t="s">
        <v>970</v>
      </c>
      <c r="D207" s="77">
        <v>4076.13</v>
      </c>
    </row>
    <row r="208" spans="2:31" ht="13.5" thickBot="1">
      <c r="B208" s="381" t="s">
        <v>197</v>
      </c>
      <c r="C208" s="200"/>
      <c r="D208" s="175">
        <f>SUM(D204:D207)</f>
        <v>6965.58</v>
      </c>
    </row>
    <row r="209" spans="2:31" ht="13.5" thickTop="1">
      <c r="D209" s="77"/>
    </row>
    <row r="210" spans="2:31">
      <c r="B210" s="344" t="s">
        <v>966</v>
      </c>
      <c r="C210" s="347"/>
      <c r="D210" s="346"/>
      <c r="F210" s="34"/>
      <c r="G210" s="82"/>
      <c r="H210" s="82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2:31">
      <c r="B211" s="348" t="s">
        <v>810</v>
      </c>
      <c r="C211" s="352" t="s">
        <v>197</v>
      </c>
      <c r="D211" s="353">
        <v>3500</v>
      </c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2:31">
      <c r="D212" s="77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</row>
    <row r="213" spans="2:31">
      <c r="D213" s="77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</row>
    <row r="214" spans="2:31">
      <c r="B214" s="279" t="s">
        <v>811</v>
      </c>
      <c r="D214">
        <v>0</v>
      </c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</row>
    <row r="215" spans="2:31">
      <c r="B215" t="s">
        <v>639</v>
      </c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</row>
    <row r="216" spans="2:31">
      <c r="B216" t="s">
        <v>640</v>
      </c>
    </row>
    <row r="217" spans="2:31">
      <c r="B217" s="277" t="s">
        <v>682</v>
      </c>
    </row>
    <row r="220" spans="2:31">
      <c r="B220" s="279" t="s">
        <v>812</v>
      </c>
    </row>
    <row r="221" spans="2:31">
      <c r="B221" s="277" t="s">
        <v>830</v>
      </c>
      <c r="D221" s="311">
        <f>D125</f>
        <v>17926.689999999995</v>
      </c>
    </row>
    <row r="222" spans="2:31">
      <c r="B222" s="279"/>
    </row>
    <row r="223" spans="2:31">
      <c r="B223" t="s">
        <v>893</v>
      </c>
      <c r="D223" s="309">
        <v>829977.98</v>
      </c>
    </row>
    <row r="224" spans="2:31">
      <c r="B224" t="s">
        <v>704</v>
      </c>
      <c r="C224" s="316">
        <f>IFERROR(D224/D223,0)</f>
        <v>0.86883740599616599</v>
      </c>
      <c r="D224" s="311">
        <f>AS8</f>
        <v>721115.91517713771</v>
      </c>
    </row>
    <row r="225" spans="2:4">
      <c r="B225" s="291" t="s">
        <v>841</v>
      </c>
      <c r="C225" s="30"/>
      <c r="D225" s="310">
        <v>9952.64</v>
      </c>
    </row>
    <row r="226" spans="2:4">
      <c r="B226" s="277" t="s">
        <v>829</v>
      </c>
      <c r="D226" s="312">
        <f>IFERROR(D225*C224,0)</f>
        <v>8647.2259204136808</v>
      </c>
    </row>
    <row r="227" spans="2:4" ht="13.5" thickBot="1">
      <c r="B227" s="199" t="s">
        <v>831</v>
      </c>
      <c r="C227" s="199"/>
      <c r="D227" s="313">
        <f>IFERROR(D226*0.2,0)</f>
        <v>1729.4451840827362</v>
      </c>
    </row>
    <row r="228" spans="2:4" ht="13.5" thickTop="1">
      <c r="B228" s="33"/>
      <c r="C228" s="33"/>
      <c r="D228" s="65"/>
    </row>
    <row r="229" spans="2:4" ht="13.5" thickBot="1">
      <c r="B229" s="307" t="s">
        <v>832</v>
      </c>
      <c r="C229" s="307"/>
      <c r="D229" s="314">
        <f>IFERROR(D221-D227,"")</f>
        <v>16197.244815917258</v>
      </c>
    </row>
    <row r="232" spans="2:4">
      <c r="B232" s="279" t="s">
        <v>813</v>
      </c>
      <c r="D232" s="77"/>
    </row>
    <row r="233" spans="2:4">
      <c r="B233" s="277" t="s">
        <v>930</v>
      </c>
      <c r="D233" s="77">
        <f>3776-400</f>
        <v>3376</v>
      </c>
    </row>
    <row r="234" spans="2:4">
      <c r="B234" s="277" t="s">
        <v>929</v>
      </c>
      <c r="D234" s="77">
        <f>25204-24619.25</f>
        <v>584.75</v>
      </c>
    </row>
    <row r="235" spans="2:4">
      <c r="B235" s="277" t="s">
        <v>972</v>
      </c>
      <c r="D235" s="77">
        <v>115</v>
      </c>
    </row>
    <row r="236" spans="2:4">
      <c r="B236" s="277" t="s">
        <v>971</v>
      </c>
      <c r="D236" s="77">
        <f>-3961-115</f>
        <v>-4076</v>
      </c>
    </row>
    <row r="237" spans="2:4" ht="13.5" thickBot="1">
      <c r="B237" s="199" t="s">
        <v>197</v>
      </c>
      <c r="C237" s="200"/>
      <c r="D237" s="175">
        <f>SUM(D233:D236)</f>
        <v>-0.25</v>
      </c>
    </row>
    <row r="238" spans="2:4" ht="13.5" thickTop="1"/>
    <row r="240" spans="2:4">
      <c r="B240" s="279" t="s">
        <v>816</v>
      </c>
    </row>
    <row r="241" spans="1:31">
      <c r="B241" s="79" t="s">
        <v>574</v>
      </c>
      <c r="D241" s="77">
        <v>950000</v>
      </c>
    </row>
    <row r="242" spans="1:31">
      <c r="B242" s="79" t="s">
        <v>575</v>
      </c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</row>
    <row r="243" spans="1:31">
      <c r="B243" s="79" t="s">
        <v>576</v>
      </c>
    </row>
    <row r="244" spans="1:31">
      <c r="B244" s="79" t="s">
        <v>577</v>
      </c>
    </row>
    <row r="246" spans="1:31">
      <c r="B246" s="79" t="s">
        <v>586</v>
      </c>
      <c r="D246" s="77">
        <v>112480</v>
      </c>
    </row>
    <row r="247" spans="1:31">
      <c r="B247" s="79" t="s">
        <v>587</v>
      </c>
      <c r="C247" s="254"/>
      <c r="D247" s="254"/>
    </row>
    <row r="248" spans="1:31">
      <c r="B248" s="79" t="s">
        <v>578</v>
      </c>
    </row>
    <row r="249" spans="1:31" s="254" customFormat="1">
      <c r="A249"/>
      <c r="B249"/>
      <c r="C249"/>
      <c r="D249"/>
      <c r="E249"/>
    </row>
    <row r="250" spans="1:31">
      <c r="A250" s="254"/>
      <c r="B250" s="79" t="s">
        <v>585</v>
      </c>
      <c r="D250" s="77">
        <f>5000+15000</f>
        <v>20000</v>
      </c>
      <c r="E250" s="254"/>
    </row>
    <row r="251" spans="1:31">
      <c r="B251" s="79" t="s">
        <v>579</v>
      </c>
    </row>
    <row r="252" spans="1:31">
      <c r="B252" s="79" t="s">
        <v>580</v>
      </c>
    </row>
    <row r="253" spans="1:31" ht="13.5" thickBot="1">
      <c r="B253" s="199" t="s">
        <v>197</v>
      </c>
      <c r="C253" s="255"/>
      <c r="D253" s="175">
        <f>SUM(D241:D252)</f>
        <v>1082480</v>
      </c>
    </row>
    <row r="254" spans="1:31" ht="13.5" thickTop="1">
      <c r="B254" s="256"/>
      <c r="D254" s="77"/>
    </row>
    <row r="256" spans="1:31">
      <c r="B256" s="279" t="s">
        <v>817</v>
      </c>
    </row>
    <row r="257" spans="2:4">
      <c r="B257" s="277" t="s">
        <v>965</v>
      </c>
      <c r="D257">
        <v>115</v>
      </c>
    </row>
    <row r="258" spans="2:4">
      <c r="B258" s="277" t="s">
        <v>973</v>
      </c>
      <c r="D258">
        <v>-115</v>
      </c>
    </row>
    <row r="259" spans="2:4" ht="13.5" thickBot="1">
      <c r="B259" s="270" t="s">
        <v>197</v>
      </c>
      <c r="C259" s="266"/>
      <c r="D259" s="286">
        <f>SUM(D257:D258)</f>
        <v>0</v>
      </c>
    </row>
    <row r="260" spans="2:4" ht="13.5" thickTop="1"/>
    <row r="262" spans="2:4">
      <c r="B262" s="279" t="s">
        <v>820</v>
      </c>
      <c r="C262" s="302"/>
    </row>
    <row r="263" spans="2:4">
      <c r="B263" s="277" t="s">
        <v>688</v>
      </c>
      <c r="D263" s="315">
        <f>D93</f>
        <v>1082480</v>
      </c>
    </row>
    <row r="264" spans="2:4">
      <c r="B264" s="277"/>
      <c r="D264" s="77"/>
    </row>
    <row r="265" spans="2:4">
      <c r="B265" s="303" t="s">
        <v>824</v>
      </c>
      <c r="C265" s="311">
        <f>E94</f>
        <v>721115.91517713771</v>
      </c>
    </row>
    <row r="266" spans="2:4">
      <c r="B266" s="302" t="s">
        <v>825</v>
      </c>
      <c r="C266" s="311">
        <f>D128</f>
        <v>1729.4451840827362</v>
      </c>
      <c r="D266" s="315">
        <f>C265+C266</f>
        <v>722845.36036122043</v>
      </c>
    </row>
    <row r="267" spans="2:4">
      <c r="B267" s="277"/>
      <c r="D267" s="77"/>
    </row>
    <row r="268" spans="2:4">
      <c r="B268" s="277" t="s">
        <v>823</v>
      </c>
      <c r="C268" s="311">
        <f>E95</f>
        <v>144405.47482286231</v>
      </c>
    </row>
    <row r="269" spans="2:4">
      <c r="B269" s="302" t="s">
        <v>825</v>
      </c>
      <c r="C269" s="311">
        <f>D129</f>
        <v>16197.244815917258</v>
      </c>
      <c r="D269" s="315">
        <f>C268+C269</f>
        <v>160602.71963877956</v>
      </c>
    </row>
    <row r="270" spans="2:4">
      <c r="B270" s="277"/>
      <c r="D270" s="77"/>
    </row>
    <row r="271" spans="2:4" ht="13.5" thickBot="1">
      <c r="B271" s="199" t="s">
        <v>197</v>
      </c>
      <c r="C271" s="200"/>
      <c r="D271" s="175">
        <f>SUM(D263:D270)</f>
        <v>1965928.0799999998</v>
      </c>
    </row>
    <row r="272" spans="2:4" ht="13.5" thickTop="1"/>
    <row r="293" spans="2:4">
      <c r="D293" s="77"/>
    </row>
    <row r="294" spans="2:4">
      <c r="B294" s="177"/>
      <c r="D294" s="77"/>
    </row>
    <row r="295" spans="2:4">
      <c r="B295" s="34"/>
      <c r="D295" s="77"/>
    </row>
    <row r="296" spans="2:4">
      <c r="D296" s="77"/>
    </row>
    <row r="297" spans="2:4">
      <c r="D297" s="77"/>
    </row>
  </sheetData>
  <mergeCells count="49">
    <mergeCell ref="X5:Y5"/>
    <mergeCell ref="A1:C1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F6:AG6"/>
    <mergeCell ref="AX5:AY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L5:AM5"/>
    <mergeCell ref="AN5:AO5"/>
    <mergeCell ref="AP5:AQ5"/>
    <mergeCell ref="AR5:AS5"/>
    <mergeCell ref="AT5:AU5"/>
    <mergeCell ref="V6:W6"/>
    <mergeCell ref="X6:Y6"/>
    <mergeCell ref="Z6:AA6"/>
    <mergeCell ref="AB6:AC6"/>
    <mergeCell ref="AD6:AE6"/>
    <mergeCell ref="AT6:AU6"/>
    <mergeCell ref="AV6:AW6"/>
    <mergeCell ref="AX6:AY6"/>
    <mergeCell ref="AH6:AI6"/>
    <mergeCell ref="AJ6:AK6"/>
    <mergeCell ref="AL6:AM6"/>
    <mergeCell ref="AN6:AO6"/>
    <mergeCell ref="AP6:AQ6"/>
    <mergeCell ref="AR6:AS6"/>
  </mergeCells>
  <conditionalFormatting sqref="E133:E134">
    <cfRule type="cellIs" dxfId="5" priority="1" operator="equal">
      <formula>"Feil"</formula>
    </cfRule>
    <cfRule type="cellIs" dxfId="4" priority="2" operator="equal">
      <formula>"OK"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D291"/>
  <sheetViews>
    <sheetView topLeftCell="A13" zoomScale="120" zoomScaleNormal="120" zoomScalePageLayoutView="120" workbookViewId="0">
      <selection activeCell="A16" sqref="A16:XFD16"/>
    </sheetView>
  </sheetViews>
  <sheetFormatPr baseColWidth="10" defaultColWidth="11.42578125" defaultRowHeight="12.75"/>
  <cols>
    <col min="1" max="1" width="10.140625" bestFit="1" customWidth="1"/>
    <col min="2" max="2" width="38" customWidth="1"/>
    <col min="3" max="3" width="7.85546875" customWidth="1"/>
    <col min="4" max="5" width="12.7109375" customWidth="1"/>
    <col min="6" max="6" width="16.7109375" customWidth="1"/>
    <col min="7" max="8" width="12.7109375" customWidth="1"/>
    <col min="9" max="9" width="16.140625" customWidth="1"/>
    <col min="10" max="71" width="12.7109375" customWidth="1"/>
  </cols>
  <sheetData>
    <row r="1" spans="1:238" s="37" customFormat="1" ht="21" thickBot="1">
      <c r="A1" s="572" t="s">
        <v>837</v>
      </c>
      <c r="B1" s="573"/>
      <c r="C1" s="574"/>
    </row>
    <row r="2" spans="1:238" s="37" customFormat="1">
      <c r="A2" s="240" t="s">
        <v>510</v>
      </c>
      <c r="B2" s="209"/>
      <c r="C2" s="209"/>
    </row>
    <row r="3" spans="1:238" s="37" customFormat="1">
      <c r="A3" s="241" t="s">
        <v>153</v>
      </c>
      <c r="B3" s="210"/>
      <c r="C3" s="210"/>
    </row>
    <row r="4" spans="1:238" s="37" customFormat="1" ht="13.5" thickBot="1">
      <c r="A4" s="242" t="s">
        <v>159</v>
      </c>
      <c r="B4" s="210"/>
      <c r="C4" s="210"/>
      <c r="F4" s="37">
        <v>6100</v>
      </c>
      <c r="H4" s="37">
        <v>6200</v>
      </c>
      <c r="J4" s="37">
        <v>6300</v>
      </c>
      <c r="N4" s="37">
        <v>6400</v>
      </c>
      <c r="P4" s="37">
        <v>6500</v>
      </c>
      <c r="R4" s="37">
        <v>6600</v>
      </c>
      <c r="T4" s="37">
        <v>6700</v>
      </c>
      <c r="X4" s="37">
        <v>6800</v>
      </c>
      <c r="Z4" s="37">
        <v>6900</v>
      </c>
    </row>
    <row r="5" spans="1:238" s="208" customFormat="1">
      <c r="A5" s="228" t="s">
        <v>20</v>
      </c>
      <c r="B5" s="229" t="s">
        <v>0</v>
      </c>
      <c r="C5" s="230" t="s">
        <v>1</v>
      </c>
      <c r="D5" s="564" t="s">
        <v>650</v>
      </c>
      <c r="E5" s="564"/>
      <c r="F5" s="566" t="s">
        <v>328</v>
      </c>
      <c r="G5" s="566"/>
      <c r="H5" s="566" t="s">
        <v>477</v>
      </c>
      <c r="I5" s="566"/>
      <c r="J5" s="566" t="s">
        <v>163</v>
      </c>
      <c r="K5" s="566"/>
      <c r="L5" s="566" t="s">
        <v>759</v>
      </c>
      <c r="M5" s="566"/>
      <c r="N5" s="566" t="s">
        <v>95</v>
      </c>
      <c r="O5" s="566"/>
      <c r="P5" s="566" t="s">
        <v>336</v>
      </c>
      <c r="Q5" s="566"/>
      <c r="R5" s="567">
        <v>39585</v>
      </c>
      <c r="S5" s="566"/>
      <c r="T5" s="566" t="s">
        <v>338</v>
      </c>
      <c r="U5" s="566"/>
      <c r="V5" s="566" t="s">
        <v>468</v>
      </c>
      <c r="W5" s="566"/>
      <c r="X5" s="566" t="s">
        <v>684</v>
      </c>
      <c r="Y5" s="566"/>
      <c r="Z5" s="566" t="s">
        <v>761</v>
      </c>
      <c r="AA5" s="566"/>
      <c r="AB5" s="568" t="s">
        <v>6</v>
      </c>
      <c r="AC5" s="568"/>
      <c r="AD5" s="564" t="s">
        <v>607</v>
      </c>
      <c r="AE5" s="564"/>
      <c r="AF5" s="568" t="s">
        <v>331</v>
      </c>
      <c r="AG5" s="568"/>
      <c r="AH5" s="568" t="s">
        <v>355</v>
      </c>
      <c r="AI5" s="568"/>
      <c r="AJ5" s="564" t="s">
        <v>520</v>
      </c>
      <c r="AK5" s="564"/>
      <c r="AL5" s="564" t="s">
        <v>518</v>
      </c>
      <c r="AM5" s="564"/>
      <c r="AN5" s="564" t="s">
        <v>516</v>
      </c>
      <c r="AO5" s="564"/>
      <c r="AP5" s="564" t="s">
        <v>514</v>
      </c>
      <c r="AQ5" s="564"/>
      <c r="AR5" s="564" t="s">
        <v>687</v>
      </c>
      <c r="AS5" s="564"/>
      <c r="AT5" s="564" t="s">
        <v>692</v>
      </c>
      <c r="AU5" s="564"/>
      <c r="AV5" s="564" t="s">
        <v>30</v>
      </c>
      <c r="AW5" s="564"/>
      <c r="AX5" s="564" t="s">
        <v>32</v>
      </c>
      <c r="AY5" s="564"/>
    </row>
    <row r="6" spans="1:238" s="208" customFormat="1">
      <c r="A6" s="231"/>
      <c r="B6" s="252"/>
      <c r="C6" s="227" t="s">
        <v>16</v>
      </c>
      <c r="D6" s="559" t="s">
        <v>249</v>
      </c>
      <c r="E6" s="559"/>
      <c r="F6" s="563" t="s">
        <v>329</v>
      </c>
      <c r="G6" s="563"/>
      <c r="H6" s="563"/>
      <c r="I6" s="563"/>
      <c r="J6" s="563"/>
      <c r="K6" s="563"/>
      <c r="L6" s="563"/>
      <c r="M6" s="563"/>
      <c r="N6" s="563"/>
      <c r="O6" s="563"/>
      <c r="P6" s="563" t="s">
        <v>337</v>
      </c>
      <c r="Q6" s="563"/>
      <c r="R6" s="563"/>
      <c r="S6" s="563"/>
      <c r="T6" s="563"/>
      <c r="U6" s="563"/>
      <c r="V6" s="563" t="s">
        <v>685</v>
      </c>
      <c r="W6" s="563"/>
      <c r="X6" s="563"/>
      <c r="Y6" s="563"/>
      <c r="Z6" s="563" t="s">
        <v>686</v>
      </c>
      <c r="AA6" s="563"/>
      <c r="AB6" s="562"/>
      <c r="AC6" s="562"/>
      <c r="AD6" s="559" t="s">
        <v>608</v>
      </c>
      <c r="AE6" s="559"/>
      <c r="AF6" s="562" t="s">
        <v>650</v>
      </c>
      <c r="AG6" s="562"/>
      <c r="AH6" s="562"/>
      <c r="AI6" s="562"/>
      <c r="AJ6" s="559" t="s">
        <v>519</v>
      </c>
      <c r="AK6" s="559"/>
      <c r="AL6" s="559" t="s">
        <v>519</v>
      </c>
      <c r="AM6" s="559"/>
      <c r="AN6" s="559" t="s">
        <v>517</v>
      </c>
      <c r="AO6" s="559"/>
      <c r="AP6" s="559" t="s">
        <v>515</v>
      </c>
      <c r="AQ6" s="559"/>
      <c r="AR6" s="559" t="s">
        <v>791</v>
      </c>
      <c r="AS6" s="559"/>
      <c r="AT6" s="559" t="s">
        <v>790</v>
      </c>
      <c r="AU6" s="559"/>
      <c r="AV6" s="559"/>
      <c r="AW6" s="559"/>
      <c r="AX6" s="559"/>
      <c r="AY6" s="559"/>
    </row>
    <row r="7" spans="1:238" s="226" customFormat="1">
      <c r="A7" s="232"/>
      <c r="B7" s="222"/>
      <c r="C7" s="223"/>
      <c r="D7" s="224" t="s">
        <v>28</v>
      </c>
      <c r="E7" s="225" t="s">
        <v>29</v>
      </c>
      <c r="F7" s="224" t="s">
        <v>28</v>
      </c>
      <c r="G7" s="225" t="s">
        <v>29</v>
      </c>
      <c r="H7" s="224" t="s">
        <v>28</v>
      </c>
      <c r="I7" s="225" t="s">
        <v>29</v>
      </c>
      <c r="J7" s="224" t="s">
        <v>28</v>
      </c>
      <c r="K7" s="225" t="s">
        <v>29</v>
      </c>
      <c r="L7" s="224" t="s">
        <v>28</v>
      </c>
      <c r="M7" s="225" t="s">
        <v>29</v>
      </c>
      <c r="N7" s="224" t="s">
        <v>28</v>
      </c>
      <c r="O7" s="225" t="s">
        <v>29</v>
      </c>
      <c r="P7" s="224" t="s">
        <v>28</v>
      </c>
      <c r="Q7" s="225" t="s">
        <v>29</v>
      </c>
      <c r="R7" s="224" t="s">
        <v>28</v>
      </c>
      <c r="S7" s="225" t="s">
        <v>29</v>
      </c>
      <c r="T7" s="224" t="s">
        <v>28</v>
      </c>
      <c r="U7" s="225" t="s">
        <v>29</v>
      </c>
      <c r="V7" s="224" t="s">
        <v>28</v>
      </c>
      <c r="W7" s="225" t="s">
        <v>29</v>
      </c>
      <c r="X7" s="224" t="s">
        <v>28</v>
      </c>
      <c r="Y7" s="225" t="s">
        <v>29</v>
      </c>
      <c r="Z7" s="224" t="s">
        <v>28</v>
      </c>
      <c r="AA7" s="225" t="s">
        <v>29</v>
      </c>
      <c r="AB7" s="224" t="s">
        <v>28</v>
      </c>
      <c r="AC7" s="225" t="s">
        <v>29</v>
      </c>
      <c r="AD7" s="224" t="s">
        <v>28</v>
      </c>
      <c r="AE7" s="225" t="s">
        <v>29</v>
      </c>
      <c r="AF7" s="224" t="s">
        <v>28</v>
      </c>
      <c r="AG7" s="225" t="s">
        <v>29</v>
      </c>
      <c r="AH7" s="224" t="s">
        <v>28</v>
      </c>
      <c r="AI7" s="225" t="s">
        <v>29</v>
      </c>
      <c r="AJ7" s="224" t="s">
        <v>28</v>
      </c>
      <c r="AK7" s="225" t="s">
        <v>29</v>
      </c>
      <c r="AL7" s="224" t="s">
        <v>28</v>
      </c>
      <c r="AM7" s="225" t="s">
        <v>29</v>
      </c>
      <c r="AN7" s="224" t="s">
        <v>28</v>
      </c>
      <c r="AO7" s="225" t="s">
        <v>29</v>
      </c>
      <c r="AP7" s="224" t="s">
        <v>28</v>
      </c>
      <c r="AQ7" s="225" t="s">
        <v>29</v>
      </c>
      <c r="AR7" s="224" t="s">
        <v>28</v>
      </c>
      <c r="AS7" s="225" t="s">
        <v>29</v>
      </c>
      <c r="AT7" s="224" t="s">
        <v>28</v>
      </c>
      <c r="AU7" s="225" t="s">
        <v>29</v>
      </c>
      <c r="AV7" s="224" t="s">
        <v>28</v>
      </c>
      <c r="AW7" s="225" t="s">
        <v>29</v>
      </c>
      <c r="AX7" s="224" t="s">
        <v>28</v>
      </c>
      <c r="AY7" s="225" t="s">
        <v>29</v>
      </c>
    </row>
    <row r="8" spans="1:238" s="34" customFormat="1">
      <c r="A8" s="247" t="s">
        <v>840</v>
      </c>
      <c r="B8" s="248" t="s">
        <v>838</v>
      </c>
      <c r="C8" s="249"/>
      <c r="D8" s="250">
        <v>8702.1200000000026</v>
      </c>
      <c r="E8" s="251"/>
      <c r="F8" s="250"/>
      <c r="G8" s="251"/>
      <c r="H8" s="250"/>
      <c r="I8" s="251"/>
      <c r="J8" s="250"/>
      <c r="K8" s="251"/>
      <c r="L8" s="250"/>
      <c r="M8" s="251"/>
      <c r="N8" s="250"/>
      <c r="O8" s="251"/>
      <c r="P8" s="250"/>
      <c r="Q8" s="251"/>
      <c r="R8" s="250"/>
      <c r="S8" s="251"/>
      <c r="T8" s="250"/>
      <c r="U8" s="251"/>
      <c r="V8" s="250"/>
      <c r="W8" s="251"/>
      <c r="X8" s="250"/>
      <c r="Y8" s="251"/>
      <c r="Z8" s="250"/>
      <c r="AA8" s="251"/>
      <c r="AB8" s="250"/>
      <c r="AC8" s="251"/>
      <c r="AD8" s="250">
        <v>972158.74</v>
      </c>
      <c r="AE8" s="251"/>
      <c r="AF8" s="250"/>
      <c r="AG8" s="251"/>
      <c r="AH8" s="250"/>
      <c r="AI8" s="251"/>
      <c r="AJ8" s="250">
        <v>950000</v>
      </c>
      <c r="AK8" s="251"/>
      <c r="AL8" s="250">
        <v>112480</v>
      </c>
      <c r="AM8" s="251"/>
      <c r="AN8" s="250">
        <v>5000</v>
      </c>
      <c r="AO8" s="251"/>
      <c r="AP8" s="250"/>
      <c r="AQ8" s="251">
        <v>1067480</v>
      </c>
      <c r="AR8" s="250"/>
      <c r="AS8" s="251">
        <v>717018.69964090642</v>
      </c>
      <c r="AT8" s="250"/>
      <c r="AU8" s="251">
        <v>266104.87035909359</v>
      </c>
      <c r="AV8" s="250"/>
      <c r="AW8" s="251">
        <v>3312.9999999999991</v>
      </c>
      <c r="AX8" s="250">
        <v>5575.71</v>
      </c>
      <c r="AY8" s="251"/>
      <c r="AZ8" s="243">
        <f>+D8-E8+F8-G8+H8-I8+J8-K8+L8-M8+N8-O8+P8-Q8+R8-S8+T8-U8+V8-W8+X8-Y8+Z8-AA8+AB8-AC8+AD8-AE8+AF8-AG8+AH8-AI8+AJ8-AK8+AL8-AM8+AN8-AO8+AP8-AQ8+AR8-AS8+AT8-AU8+AV8-AW8+AX8-AY8</f>
        <v>-1.3642420526593924E-10</v>
      </c>
      <c r="BA8" s="244"/>
      <c r="BB8" s="244"/>
    </row>
    <row r="9" spans="1:238" s="79" customFormat="1">
      <c r="A9" s="233">
        <v>41641</v>
      </c>
      <c r="B9" s="257" t="s">
        <v>842</v>
      </c>
      <c r="C9" s="285" t="s">
        <v>715</v>
      </c>
      <c r="D9" s="212"/>
      <c r="E9" s="213">
        <v>4.5</v>
      </c>
      <c r="F9" s="212"/>
      <c r="G9" s="213"/>
      <c r="H9" s="212"/>
      <c r="I9" s="213"/>
      <c r="J9" s="212"/>
      <c r="K9" s="213"/>
      <c r="L9" s="212"/>
      <c r="M9" s="213"/>
      <c r="N9" s="212"/>
      <c r="O9" s="213"/>
      <c r="P9" s="212">
        <v>4.5</v>
      </c>
      <c r="Q9" s="213"/>
      <c r="R9" s="212"/>
      <c r="S9" s="213"/>
      <c r="T9" s="212"/>
      <c r="U9" s="213"/>
      <c r="V9" s="212"/>
      <c r="W9" s="213"/>
      <c r="X9" s="212"/>
      <c r="Y9" s="213"/>
      <c r="Z9" s="212"/>
      <c r="AA9" s="213"/>
      <c r="AB9" s="212"/>
      <c r="AC9" s="213"/>
      <c r="AD9" s="212"/>
      <c r="AE9" s="213"/>
      <c r="AF9" s="212"/>
      <c r="AG9" s="213"/>
      <c r="AH9" s="212"/>
      <c r="AI9" s="213"/>
      <c r="AJ9" s="212"/>
      <c r="AK9" s="213"/>
      <c r="AL9" s="212"/>
      <c r="AM9" s="213"/>
      <c r="AN9" s="212"/>
      <c r="AO9" s="213"/>
      <c r="AP9" s="212"/>
      <c r="AQ9" s="213"/>
      <c r="AR9" s="212"/>
      <c r="AS9" s="213"/>
      <c r="AT9" s="212"/>
      <c r="AU9" s="213"/>
      <c r="AV9" s="212"/>
      <c r="AW9" s="213"/>
      <c r="AX9" s="212"/>
      <c r="AY9" s="213"/>
      <c r="AZ9" s="243">
        <f t="shared" ref="AZ9:AZ59" si="0">+D9-E9+F9-G9+H9-I9+J9-K9+L9-M9+N9-O9+P9-Q9+R9-S9+T9-U9+V9-W9+X9-Y9+Z9-AA9+AB9-AC9+AD9-AE9+AF9-AG9+AH9-AI9+AJ9-AK9+AL9-AM9+AN9-AO9+AP9-AQ9+AR9-AS9+AT9-AU9+AV9-AW9+AX9-AY9</f>
        <v>0</v>
      </c>
      <c r="BA9" s="194"/>
      <c r="BB9" s="194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</row>
    <row r="10" spans="1:238" s="79" customFormat="1">
      <c r="A10" s="260">
        <v>41641</v>
      </c>
      <c r="B10" s="257" t="s">
        <v>878</v>
      </c>
      <c r="C10" s="285" t="s">
        <v>716</v>
      </c>
      <c r="D10" s="214">
        <v>1600</v>
      </c>
      <c r="E10" s="215"/>
      <c r="F10" s="214"/>
      <c r="G10" s="215"/>
      <c r="H10" s="214"/>
      <c r="I10" s="215"/>
      <c r="J10" s="214"/>
      <c r="K10" s="215"/>
      <c r="L10" s="214"/>
      <c r="M10" s="215"/>
      <c r="N10" s="214"/>
      <c r="O10" s="215"/>
      <c r="P10" s="214"/>
      <c r="Q10" s="215"/>
      <c r="R10" s="214"/>
      <c r="S10" s="215"/>
      <c r="T10" s="214"/>
      <c r="U10" s="215"/>
      <c r="V10" s="214"/>
      <c r="W10" s="215"/>
      <c r="X10" s="214"/>
      <c r="Y10" s="215"/>
      <c r="Z10" s="214"/>
      <c r="AA10" s="215"/>
      <c r="AB10" s="214"/>
      <c r="AC10" s="215"/>
      <c r="AD10" s="214"/>
      <c r="AE10" s="215"/>
      <c r="AF10" s="214"/>
      <c r="AG10" s="215"/>
      <c r="AH10" s="214"/>
      <c r="AI10" s="215"/>
      <c r="AJ10" s="214"/>
      <c r="AK10" s="215"/>
      <c r="AL10" s="214"/>
      <c r="AM10" s="215"/>
      <c r="AN10" s="214"/>
      <c r="AO10" s="215"/>
      <c r="AP10" s="214"/>
      <c r="AQ10" s="215"/>
      <c r="AR10" s="214"/>
      <c r="AS10" s="215"/>
      <c r="AT10" s="214"/>
      <c r="AU10" s="215"/>
      <c r="AV10" s="362"/>
      <c r="AW10" s="363"/>
      <c r="AX10" s="362"/>
      <c r="AY10" s="363">
        <v>1600</v>
      </c>
      <c r="AZ10" s="243">
        <f t="shared" si="0"/>
        <v>0</v>
      </c>
      <c r="BA10" s="194"/>
      <c r="BB10" s="194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</row>
    <row r="11" spans="1:238" s="79" customFormat="1">
      <c r="A11" s="233">
        <v>41655</v>
      </c>
      <c r="B11" s="257" t="s">
        <v>591</v>
      </c>
      <c r="C11" s="285" t="s">
        <v>717</v>
      </c>
      <c r="D11" s="212">
        <v>250</v>
      </c>
      <c r="E11" s="215"/>
      <c r="F11" s="214"/>
      <c r="G11" s="215"/>
      <c r="H11" s="214"/>
      <c r="I11" s="215"/>
      <c r="J11" s="214"/>
      <c r="K11" s="215"/>
      <c r="L11" s="214"/>
      <c r="M11" s="215"/>
      <c r="N11" s="214"/>
      <c r="O11" s="215"/>
      <c r="P11" s="214"/>
      <c r="Q11" s="215"/>
      <c r="R11" s="214"/>
      <c r="S11" s="215"/>
      <c r="T11" s="214"/>
      <c r="U11" s="215"/>
      <c r="V11" s="214"/>
      <c r="W11" s="215"/>
      <c r="X11" s="214"/>
      <c r="Y11" s="215"/>
      <c r="Z11" s="214"/>
      <c r="AA11" s="215"/>
      <c r="AB11" s="214"/>
      <c r="AC11" s="215"/>
      <c r="AD11" s="214"/>
      <c r="AE11" s="215"/>
      <c r="AF11" s="214"/>
      <c r="AG11" s="215"/>
      <c r="AH11" s="214"/>
      <c r="AI11" s="215">
        <v>50</v>
      </c>
      <c r="AJ11" s="214"/>
      <c r="AK11" s="215"/>
      <c r="AL11" s="214"/>
      <c r="AM11" s="215"/>
      <c r="AN11" s="214"/>
      <c r="AO11" s="215"/>
      <c r="AP11" s="214"/>
      <c r="AQ11" s="215"/>
      <c r="AR11" s="214"/>
      <c r="AS11" s="215"/>
      <c r="AT11" s="214"/>
      <c r="AU11" s="215"/>
      <c r="AV11" s="362"/>
      <c r="AW11" s="364"/>
      <c r="AX11" s="362"/>
      <c r="AY11" s="363">
        <v>200</v>
      </c>
      <c r="AZ11" s="243">
        <f t="shared" si="0"/>
        <v>0</v>
      </c>
      <c r="BA11" s="194"/>
      <c r="BB11" s="194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</row>
    <row r="12" spans="1:238" s="79" customFormat="1">
      <c r="A12" s="233">
        <v>41673</v>
      </c>
      <c r="B12" s="262" t="s">
        <v>846</v>
      </c>
      <c r="C12" s="285" t="s">
        <v>718</v>
      </c>
      <c r="D12" s="212"/>
      <c r="E12" s="213">
        <v>1284</v>
      </c>
      <c r="F12" s="365"/>
      <c r="G12" s="364"/>
      <c r="H12" s="365"/>
      <c r="I12" s="364"/>
      <c r="J12" s="365"/>
      <c r="K12" s="213"/>
      <c r="L12" s="212"/>
      <c r="M12" s="213"/>
      <c r="N12" s="212"/>
      <c r="O12" s="213"/>
      <c r="P12" s="365"/>
      <c r="Q12" s="364"/>
      <c r="R12" s="365"/>
      <c r="S12" s="364"/>
      <c r="T12" s="365"/>
      <c r="U12" s="213"/>
      <c r="V12" s="212"/>
      <c r="W12" s="213"/>
      <c r="X12" s="212"/>
      <c r="Y12" s="213"/>
      <c r="Z12" s="212"/>
      <c r="AA12" s="213"/>
      <c r="AB12" s="212"/>
      <c r="AC12" s="213"/>
      <c r="AD12" s="212"/>
      <c r="AE12" s="213"/>
      <c r="AF12" s="212"/>
      <c r="AG12" s="213"/>
      <c r="AH12" s="212"/>
      <c r="AI12" s="213"/>
      <c r="AJ12" s="212"/>
      <c r="AK12" s="213"/>
      <c r="AL12" s="212"/>
      <c r="AM12" s="213"/>
      <c r="AN12" s="212"/>
      <c r="AO12" s="213"/>
      <c r="AP12" s="212"/>
      <c r="AQ12" s="213"/>
      <c r="AR12" s="212"/>
      <c r="AS12" s="213"/>
      <c r="AT12" s="212"/>
      <c r="AU12" s="213"/>
      <c r="AV12" s="365">
        <v>1284</v>
      </c>
      <c r="AW12" s="364"/>
      <c r="AX12" s="365"/>
      <c r="AY12" s="364"/>
      <c r="AZ12" s="243">
        <f t="shared" si="0"/>
        <v>0</v>
      </c>
      <c r="BA12" s="194"/>
      <c r="BB12" s="194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</row>
    <row r="13" spans="1:238" s="185" customFormat="1">
      <c r="A13" s="233">
        <v>41683</v>
      </c>
      <c r="B13" s="257" t="s">
        <v>848</v>
      </c>
      <c r="C13" s="284" t="s">
        <v>719</v>
      </c>
      <c r="D13" s="212"/>
      <c r="E13" s="213">
        <v>1779</v>
      </c>
      <c r="F13" s="365"/>
      <c r="G13" s="364"/>
      <c r="H13" s="365">
        <v>250</v>
      </c>
      <c r="I13" s="364"/>
      <c r="J13" s="365"/>
      <c r="K13" s="213"/>
      <c r="L13" s="212"/>
      <c r="M13" s="213"/>
      <c r="N13" s="212"/>
      <c r="O13" s="213"/>
      <c r="P13" s="365"/>
      <c r="Q13" s="364"/>
      <c r="R13" s="365"/>
      <c r="S13" s="364"/>
      <c r="T13" s="365"/>
      <c r="U13" s="213"/>
      <c r="V13" s="212"/>
      <c r="W13" s="213"/>
      <c r="X13" s="212"/>
      <c r="Y13" s="213"/>
      <c r="Z13" s="212"/>
      <c r="AA13" s="213"/>
      <c r="AB13" s="212"/>
      <c r="AC13" s="213"/>
      <c r="AD13" s="212"/>
      <c r="AE13" s="213"/>
      <c r="AF13" s="212"/>
      <c r="AG13" s="213"/>
      <c r="AH13" s="212"/>
      <c r="AI13" s="213"/>
      <c r="AJ13" s="212"/>
      <c r="AK13" s="213"/>
      <c r="AL13" s="212"/>
      <c r="AM13" s="213"/>
      <c r="AN13" s="212"/>
      <c r="AO13" s="213"/>
      <c r="AP13" s="212"/>
      <c r="AQ13" s="213"/>
      <c r="AR13" s="212"/>
      <c r="AS13" s="213"/>
      <c r="AT13" s="212"/>
      <c r="AU13" s="213"/>
      <c r="AV13" s="365">
        <f>1779-250</f>
        <v>1529</v>
      </c>
      <c r="AW13" s="364"/>
      <c r="AX13" s="365"/>
      <c r="AY13" s="364"/>
      <c r="AZ13" s="243">
        <f t="shared" si="0"/>
        <v>0</v>
      </c>
      <c r="BA13" s="194"/>
      <c r="BB13" s="194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</row>
    <row r="14" spans="1:238" s="79" customFormat="1">
      <c r="A14" s="233">
        <v>41694</v>
      </c>
      <c r="B14" s="257" t="s">
        <v>847</v>
      </c>
      <c r="C14" s="285" t="s">
        <v>720</v>
      </c>
      <c r="D14" s="214"/>
      <c r="E14" s="215">
        <v>358</v>
      </c>
      <c r="F14" s="362"/>
      <c r="G14" s="363"/>
      <c r="H14" s="362"/>
      <c r="I14" s="363"/>
      <c r="J14" s="362"/>
      <c r="K14" s="215"/>
      <c r="L14" s="214"/>
      <c r="M14" s="215"/>
      <c r="N14" s="214"/>
      <c r="O14" s="215"/>
      <c r="P14" s="362">
        <v>358</v>
      </c>
      <c r="Q14" s="363"/>
      <c r="R14" s="362"/>
      <c r="S14" s="363"/>
      <c r="T14" s="362"/>
      <c r="U14" s="215"/>
      <c r="V14" s="214"/>
      <c r="W14" s="215"/>
      <c r="X14" s="214"/>
      <c r="Y14" s="215"/>
      <c r="Z14" s="214"/>
      <c r="AA14" s="215"/>
      <c r="AB14" s="214"/>
      <c r="AC14" s="215"/>
      <c r="AD14" s="214"/>
      <c r="AE14" s="215"/>
      <c r="AF14" s="214"/>
      <c r="AG14" s="215"/>
      <c r="AH14" s="214"/>
      <c r="AI14" s="215"/>
      <c r="AJ14" s="214"/>
      <c r="AK14" s="215"/>
      <c r="AL14" s="214"/>
      <c r="AM14" s="215"/>
      <c r="AN14" s="214"/>
      <c r="AO14" s="215"/>
      <c r="AP14" s="214"/>
      <c r="AQ14" s="215"/>
      <c r="AR14" s="214"/>
      <c r="AS14" s="215"/>
      <c r="AT14" s="214"/>
      <c r="AU14" s="215"/>
      <c r="AV14" s="362"/>
      <c r="AW14" s="363"/>
      <c r="AX14" s="362"/>
      <c r="AY14" s="363"/>
      <c r="AZ14" s="243">
        <f t="shared" si="0"/>
        <v>0</v>
      </c>
      <c r="BA14" s="194"/>
      <c r="BB14" s="194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</row>
    <row r="15" spans="1:238" s="79" customFormat="1">
      <c r="A15" s="234">
        <v>41701</v>
      </c>
      <c r="B15" s="280" t="s">
        <v>268</v>
      </c>
      <c r="C15" s="284" t="s">
        <v>721</v>
      </c>
      <c r="D15" s="214"/>
      <c r="E15" s="215">
        <v>13.5</v>
      </c>
      <c r="F15" s="362"/>
      <c r="G15" s="363"/>
      <c r="H15" s="362"/>
      <c r="I15" s="363"/>
      <c r="J15" s="362"/>
      <c r="K15" s="215"/>
      <c r="L15" s="214"/>
      <c r="M15" s="215"/>
      <c r="N15" s="214"/>
      <c r="O15" s="215"/>
      <c r="P15" s="362">
        <v>13.5</v>
      </c>
      <c r="Q15" s="363"/>
      <c r="R15" s="362"/>
      <c r="S15" s="363"/>
      <c r="T15" s="362"/>
      <c r="U15" s="215"/>
      <c r="V15" s="214"/>
      <c r="W15" s="215"/>
      <c r="X15" s="214"/>
      <c r="Y15" s="215"/>
      <c r="Z15" s="214"/>
      <c r="AA15" s="215"/>
      <c r="AB15" s="214"/>
      <c r="AC15" s="215"/>
      <c r="AD15" s="214"/>
      <c r="AE15" s="215"/>
      <c r="AF15" s="214"/>
      <c r="AG15" s="215"/>
      <c r="AH15" s="214"/>
      <c r="AI15" s="215"/>
      <c r="AJ15" s="214"/>
      <c r="AK15" s="215"/>
      <c r="AL15" s="214"/>
      <c r="AM15" s="215"/>
      <c r="AN15" s="214"/>
      <c r="AO15" s="215"/>
      <c r="AP15" s="214"/>
      <c r="AQ15" s="215"/>
      <c r="AR15" s="214"/>
      <c r="AS15" s="215"/>
      <c r="AT15" s="214"/>
      <c r="AU15" s="215"/>
      <c r="AV15" s="362"/>
      <c r="AW15" s="363"/>
      <c r="AX15" s="362"/>
      <c r="AY15" s="363"/>
      <c r="AZ15" s="243">
        <f t="shared" si="0"/>
        <v>0</v>
      </c>
      <c r="BA15" s="70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</row>
    <row r="16" spans="1:238" s="79" customFormat="1">
      <c r="A16" s="233">
        <v>41703</v>
      </c>
      <c r="B16" s="257" t="s">
        <v>849</v>
      </c>
      <c r="C16" s="285" t="s">
        <v>722</v>
      </c>
      <c r="D16" s="214"/>
      <c r="E16" s="215">
        <v>235</v>
      </c>
      <c r="F16" s="362"/>
      <c r="G16" s="363"/>
      <c r="H16" s="362"/>
      <c r="I16" s="363"/>
      <c r="J16" s="362"/>
      <c r="K16" s="215"/>
      <c r="L16" s="214"/>
      <c r="M16" s="215"/>
      <c r="N16" s="214"/>
      <c r="O16" s="215"/>
      <c r="P16" s="362"/>
      <c r="Q16" s="363"/>
      <c r="R16" s="362"/>
      <c r="S16" s="363"/>
      <c r="T16" s="362">
        <v>235</v>
      </c>
      <c r="U16" s="215"/>
      <c r="V16" s="214"/>
      <c r="W16" s="215"/>
      <c r="X16" s="214"/>
      <c r="Y16" s="215"/>
      <c r="Z16" s="214"/>
      <c r="AA16" s="215"/>
      <c r="AB16" s="214"/>
      <c r="AC16" s="215"/>
      <c r="AD16" s="214"/>
      <c r="AE16" s="215"/>
      <c r="AF16" s="214"/>
      <c r="AG16" s="215"/>
      <c r="AH16" s="214"/>
      <c r="AI16" s="215"/>
      <c r="AJ16" s="214"/>
      <c r="AK16" s="215"/>
      <c r="AL16" s="214"/>
      <c r="AM16" s="215"/>
      <c r="AN16" s="214"/>
      <c r="AO16" s="215"/>
      <c r="AP16" s="214"/>
      <c r="AQ16" s="215"/>
      <c r="AR16" s="214"/>
      <c r="AS16" s="215"/>
      <c r="AT16" s="214"/>
      <c r="AU16" s="215"/>
      <c r="AV16" s="362"/>
      <c r="AW16" s="363"/>
      <c r="AX16" s="362"/>
      <c r="AY16" s="363"/>
      <c r="AZ16" s="243">
        <f t="shared" si="0"/>
        <v>0</v>
      </c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</row>
    <row r="17" spans="1:238" s="79" customFormat="1">
      <c r="A17" s="234">
        <v>41730</v>
      </c>
      <c r="B17" s="280" t="s">
        <v>268</v>
      </c>
      <c r="C17" s="284" t="s">
        <v>723</v>
      </c>
      <c r="D17" s="214"/>
      <c r="E17" s="215">
        <v>1</v>
      </c>
      <c r="F17" s="362"/>
      <c r="G17" s="363"/>
      <c r="H17" s="362"/>
      <c r="I17" s="363"/>
      <c r="J17" s="362"/>
      <c r="K17" s="215"/>
      <c r="L17" s="214"/>
      <c r="M17" s="215"/>
      <c r="N17" s="214"/>
      <c r="O17" s="215"/>
      <c r="P17" s="362">
        <v>1</v>
      </c>
      <c r="Q17" s="363"/>
      <c r="R17" s="362"/>
      <c r="S17" s="363"/>
      <c r="T17" s="362"/>
      <c r="U17" s="215"/>
      <c r="V17" s="214"/>
      <c r="W17" s="215"/>
      <c r="X17" s="214"/>
      <c r="Y17" s="215"/>
      <c r="Z17" s="214"/>
      <c r="AA17" s="215"/>
      <c r="AB17" s="214"/>
      <c r="AC17" s="215"/>
      <c r="AD17" s="214"/>
      <c r="AE17" s="215"/>
      <c r="AF17" s="214"/>
      <c r="AG17" s="215"/>
      <c r="AH17" s="214"/>
      <c r="AI17" s="215"/>
      <c r="AJ17" s="214"/>
      <c r="AK17" s="215"/>
      <c r="AL17" s="214"/>
      <c r="AM17" s="215"/>
      <c r="AN17" s="214"/>
      <c r="AO17" s="215"/>
      <c r="AP17" s="214"/>
      <c r="AQ17" s="215"/>
      <c r="AR17" s="214"/>
      <c r="AS17" s="215"/>
      <c r="AT17" s="214"/>
      <c r="AU17" s="215"/>
      <c r="AV17" s="362"/>
      <c r="AW17" s="363"/>
      <c r="AX17" s="362"/>
      <c r="AY17" s="363"/>
      <c r="AZ17" s="243">
        <f t="shared" si="0"/>
        <v>0</v>
      </c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</row>
    <row r="18" spans="1:238" s="79" customFormat="1">
      <c r="A18" s="234">
        <v>41733</v>
      </c>
      <c r="B18" s="257" t="s">
        <v>856</v>
      </c>
      <c r="C18" s="285" t="s">
        <v>724</v>
      </c>
      <c r="D18" s="214">
        <v>1400</v>
      </c>
      <c r="E18" s="215"/>
      <c r="F18" s="362"/>
      <c r="G18" s="363"/>
      <c r="H18" s="362"/>
      <c r="I18" s="363"/>
      <c r="J18" s="362"/>
      <c r="K18" s="215"/>
      <c r="L18" s="214"/>
      <c r="M18" s="215"/>
      <c r="N18" s="214"/>
      <c r="O18" s="215"/>
      <c r="P18" s="362"/>
      <c r="Q18" s="363"/>
      <c r="R18" s="362"/>
      <c r="S18" s="363"/>
      <c r="T18" s="362"/>
      <c r="U18" s="215"/>
      <c r="V18" s="214"/>
      <c r="W18" s="215"/>
      <c r="X18" s="214"/>
      <c r="Y18" s="215"/>
      <c r="Z18" s="214"/>
      <c r="AA18" s="215"/>
      <c r="AB18" s="214"/>
      <c r="AC18" s="215">
        <v>1400</v>
      </c>
      <c r="AD18" s="214"/>
      <c r="AE18" s="215"/>
      <c r="AF18" s="214"/>
      <c r="AG18" s="215"/>
      <c r="AH18" s="214"/>
      <c r="AI18" s="215"/>
      <c r="AJ18" s="214"/>
      <c r="AK18" s="215"/>
      <c r="AL18" s="214"/>
      <c r="AM18" s="215"/>
      <c r="AN18" s="214"/>
      <c r="AO18" s="215"/>
      <c r="AP18" s="214"/>
      <c r="AQ18" s="215"/>
      <c r="AR18" s="214"/>
      <c r="AS18" s="215"/>
      <c r="AT18" s="214"/>
      <c r="AU18" s="215"/>
      <c r="AV18" s="362"/>
      <c r="AW18" s="363"/>
      <c r="AX18" s="362"/>
      <c r="AY18" s="363"/>
      <c r="AZ18" s="243">
        <f t="shared" si="0"/>
        <v>0</v>
      </c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</row>
    <row r="19" spans="1:238" s="79" customFormat="1">
      <c r="A19" s="234">
        <v>41761</v>
      </c>
      <c r="B19" s="280" t="s">
        <v>90</v>
      </c>
      <c r="C19" s="285" t="s">
        <v>725</v>
      </c>
      <c r="D19" s="214"/>
      <c r="E19" s="215">
        <v>1566</v>
      </c>
      <c r="F19" s="362"/>
      <c r="G19" s="363"/>
      <c r="H19" s="362"/>
      <c r="I19" s="363"/>
      <c r="J19" s="362"/>
      <c r="K19" s="215"/>
      <c r="L19" s="214"/>
      <c r="M19" s="215"/>
      <c r="N19" s="214">
        <v>1566</v>
      </c>
      <c r="O19" s="215"/>
      <c r="P19" s="362"/>
      <c r="Q19" s="363"/>
      <c r="R19" s="362"/>
      <c r="S19" s="363"/>
      <c r="T19" s="362"/>
      <c r="U19" s="215"/>
      <c r="V19" s="214"/>
      <c r="W19" s="215"/>
      <c r="X19" s="214"/>
      <c r="Y19" s="215"/>
      <c r="Z19" s="214"/>
      <c r="AA19" s="215"/>
      <c r="AB19" s="214"/>
      <c r="AC19" s="215"/>
      <c r="AD19" s="214"/>
      <c r="AE19" s="215"/>
      <c r="AF19" s="214"/>
      <c r="AG19" s="215"/>
      <c r="AH19" s="214"/>
      <c r="AI19" s="215"/>
      <c r="AJ19" s="214"/>
      <c r="AK19" s="215"/>
      <c r="AL19" s="214"/>
      <c r="AM19" s="215"/>
      <c r="AN19" s="214"/>
      <c r="AO19" s="215"/>
      <c r="AP19" s="214"/>
      <c r="AQ19" s="215"/>
      <c r="AR19" s="214"/>
      <c r="AS19" s="215"/>
      <c r="AT19" s="214"/>
      <c r="AU19" s="215"/>
      <c r="AV19" s="362"/>
      <c r="AW19" s="363"/>
      <c r="AX19" s="362"/>
      <c r="AY19" s="363"/>
      <c r="AZ19" s="243">
        <f t="shared" si="0"/>
        <v>0</v>
      </c>
    </row>
    <row r="20" spans="1:238" s="79" customFormat="1">
      <c r="A20" s="234">
        <v>41782</v>
      </c>
      <c r="B20" s="262" t="s">
        <v>855</v>
      </c>
      <c r="C20" s="318" t="s">
        <v>726</v>
      </c>
      <c r="D20" s="214"/>
      <c r="E20" s="215">
        <v>1243.2</v>
      </c>
      <c r="F20" s="362"/>
      <c r="G20" s="363"/>
      <c r="H20" s="362">
        <f>1243.2-500</f>
        <v>743.2</v>
      </c>
      <c r="I20" s="363"/>
      <c r="J20" s="362"/>
      <c r="K20" s="215"/>
      <c r="L20" s="214"/>
      <c r="M20" s="215"/>
      <c r="N20" s="214"/>
      <c r="O20" s="215"/>
      <c r="P20" s="362"/>
      <c r="Q20" s="363"/>
      <c r="R20" s="362"/>
      <c r="S20" s="363"/>
      <c r="T20" s="362"/>
      <c r="U20" s="215"/>
      <c r="V20" s="214"/>
      <c r="W20" s="215"/>
      <c r="X20" s="214"/>
      <c r="Y20" s="215"/>
      <c r="Z20" s="214"/>
      <c r="AA20" s="215"/>
      <c r="AB20" s="214"/>
      <c r="AC20" s="215"/>
      <c r="AD20" s="214"/>
      <c r="AE20" s="215"/>
      <c r="AF20" s="214"/>
      <c r="AG20" s="215"/>
      <c r="AH20" s="214"/>
      <c r="AI20" s="215"/>
      <c r="AJ20" s="214"/>
      <c r="AK20" s="215"/>
      <c r="AL20" s="214"/>
      <c r="AM20" s="215"/>
      <c r="AN20" s="214"/>
      <c r="AO20" s="215"/>
      <c r="AP20" s="214"/>
      <c r="AQ20" s="215"/>
      <c r="AR20" s="214"/>
      <c r="AS20" s="215"/>
      <c r="AT20" s="214"/>
      <c r="AU20" s="215"/>
      <c r="AV20" s="362">
        <v>500</v>
      </c>
      <c r="AW20" s="363"/>
      <c r="AX20" s="362"/>
      <c r="AY20" s="363"/>
      <c r="AZ20" s="243">
        <f t="shared" si="0"/>
        <v>0</v>
      </c>
    </row>
    <row r="21" spans="1:238" s="79" customFormat="1">
      <c r="A21" s="261">
        <v>41782</v>
      </c>
      <c r="B21" s="280" t="s">
        <v>850</v>
      </c>
      <c r="C21" s="285" t="s">
        <v>727</v>
      </c>
      <c r="D21" s="214"/>
      <c r="E21" s="215">
        <v>5574.03</v>
      </c>
      <c r="F21" s="362"/>
      <c r="G21" s="363"/>
      <c r="H21" s="362"/>
      <c r="I21" s="363"/>
      <c r="J21" s="363">
        <f>818+4756.03</f>
        <v>5574.03</v>
      </c>
      <c r="K21" s="215"/>
      <c r="L21" s="214"/>
      <c r="M21" s="215"/>
      <c r="N21" s="214"/>
      <c r="O21" s="215"/>
      <c r="P21" s="362"/>
      <c r="Q21" s="363"/>
      <c r="R21" s="362"/>
      <c r="S21" s="363"/>
      <c r="T21" s="362"/>
      <c r="U21" s="215"/>
      <c r="V21" s="214"/>
      <c r="W21" s="215"/>
      <c r="X21" s="214"/>
      <c r="Y21" s="215"/>
      <c r="Z21" s="214"/>
      <c r="AA21" s="215"/>
      <c r="AB21" s="214"/>
      <c r="AC21" s="215"/>
      <c r="AD21" s="214"/>
      <c r="AE21" s="215"/>
      <c r="AF21" s="214"/>
      <c r="AG21" s="215"/>
      <c r="AH21" s="214"/>
      <c r="AI21" s="215"/>
      <c r="AJ21" s="214"/>
      <c r="AK21" s="215"/>
      <c r="AL21" s="214"/>
      <c r="AM21" s="215"/>
      <c r="AN21" s="214"/>
      <c r="AO21" s="215"/>
      <c r="AP21" s="214"/>
      <c r="AQ21" s="215"/>
      <c r="AR21" s="214"/>
      <c r="AS21" s="215"/>
      <c r="AT21" s="214"/>
      <c r="AU21" s="215"/>
      <c r="AV21" s="362"/>
      <c r="AW21" s="363"/>
      <c r="AX21" s="362"/>
      <c r="AY21" s="363"/>
      <c r="AZ21" s="243">
        <f t="shared" si="0"/>
        <v>0</v>
      </c>
    </row>
    <row r="22" spans="1:238" s="79" customFormat="1">
      <c r="A22" s="261">
        <v>41782</v>
      </c>
      <c r="B22" s="280" t="s">
        <v>851</v>
      </c>
      <c r="C22" s="284" t="s">
        <v>728</v>
      </c>
      <c r="D22" s="214"/>
      <c r="E22" s="215">
        <v>5708.67</v>
      </c>
      <c r="F22" s="362"/>
      <c r="G22" s="363"/>
      <c r="H22" s="362"/>
      <c r="I22" s="363"/>
      <c r="J22" s="362">
        <f>5540.97-(1170/2)</f>
        <v>4955.97</v>
      </c>
      <c r="K22" s="215"/>
      <c r="L22" s="214"/>
      <c r="M22" s="215"/>
      <c r="N22" s="214"/>
      <c r="O22" s="215"/>
      <c r="P22" s="362">
        <v>167.7</v>
      </c>
      <c r="Q22" s="363"/>
      <c r="R22" s="362"/>
      <c r="S22" s="363"/>
      <c r="T22" s="362"/>
      <c r="U22" s="215"/>
      <c r="V22" s="214"/>
      <c r="W22" s="215"/>
      <c r="X22" s="214"/>
      <c r="Y22" s="215"/>
      <c r="Z22" s="214"/>
      <c r="AA22" s="215"/>
      <c r="AB22" s="214"/>
      <c r="AC22" s="215"/>
      <c r="AD22" s="214"/>
      <c r="AE22" s="215"/>
      <c r="AF22" s="214"/>
      <c r="AG22" s="215"/>
      <c r="AH22" s="214"/>
      <c r="AI22" s="215"/>
      <c r="AJ22" s="214"/>
      <c r="AK22" s="215"/>
      <c r="AL22" s="214"/>
      <c r="AM22" s="215"/>
      <c r="AN22" s="214"/>
      <c r="AO22" s="215"/>
      <c r="AP22" s="214"/>
      <c r="AQ22" s="215"/>
      <c r="AR22" s="214"/>
      <c r="AS22" s="215"/>
      <c r="AT22" s="214"/>
      <c r="AU22" s="215"/>
      <c r="AV22" s="362"/>
      <c r="AW22" s="363"/>
      <c r="AX22" s="362">
        <f>1170/2</f>
        <v>585</v>
      </c>
      <c r="AY22" s="363"/>
      <c r="AZ22" s="243">
        <f t="shared" si="0"/>
        <v>2.2737367544323206E-13</v>
      </c>
    </row>
    <row r="23" spans="1:238" s="79" customFormat="1">
      <c r="A23" s="261">
        <v>41782</v>
      </c>
      <c r="B23" s="262" t="s">
        <v>871</v>
      </c>
      <c r="C23" s="285" t="s">
        <v>729</v>
      </c>
      <c r="D23" s="214">
        <v>10000</v>
      </c>
      <c r="E23" s="215"/>
      <c r="F23" s="362"/>
      <c r="G23" s="363"/>
      <c r="H23" s="362"/>
      <c r="I23" s="363"/>
      <c r="J23" s="362"/>
      <c r="K23" s="215"/>
      <c r="L23" s="214"/>
      <c r="M23" s="215"/>
      <c r="N23" s="214"/>
      <c r="O23" s="215"/>
      <c r="P23" s="362"/>
      <c r="Q23" s="363"/>
      <c r="R23" s="362"/>
      <c r="S23" s="363"/>
      <c r="T23" s="362"/>
      <c r="U23" s="215"/>
      <c r="V23" s="214"/>
      <c r="W23" s="215"/>
      <c r="X23" s="214"/>
      <c r="Y23" s="215"/>
      <c r="Z23" s="214"/>
      <c r="AA23" s="215"/>
      <c r="AB23" s="214"/>
      <c r="AC23" s="215"/>
      <c r="AD23" s="214"/>
      <c r="AE23" s="215">
        <v>10000</v>
      </c>
      <c r="AF23" s="214"/>
      <c r="AG23" s="215"/>
      <c r="AH23" s="214"/>
      <c r="AI23" s="215"/>
      <c r="AJ23" s="214"/>
      <c r="AK23" s="215"/>
      <c r="AL23" s="214"/>
      <c r="AM23" s="215"/>
      <c r="AN23" s="214"/>
      <c r="AO23" s="215"/>
      <c r="AP23" s="214"/>
      <c r="AQ23" s="215"/>
      <c r="AR23" s="214"/>
      <c r="AS23" s="215"/>
      <c r="AT23" s="214"/>
      <c r="AU23" s="215"/>
      <c r="AV23" s="362"/>
      <c r="AW23" s="363"/>
      <c r="AX23" s="362"/>
      <c r="AY23" s="363"/>
      <c r="AZ23" s="243">
        <f t="shared" si="0"/>
        <v>0</v>
      </c>
    </row>
    <row r="24" spans="1:238" s="79" customFormat="1">
      <c r="A24" s="261">
        <v>41785</v>
      </c>
      <c r="B24" s="257" t="s">
        <v>843</v>
      </c>
      <c r="C24" s="284" t="s">
        <v>730</v>
      </c>
      <c r="D24" s="214"/>
      <c r="E24" s="215">
        <v>2340</v>
      </c>
      <c r="F24" s="362"/>
      <c r="G24" s="363"/>
      <c r="H24" s="362"/>
      <c r="I24" s="363"/>
      <c r="J24" s="362">
        <v>2340</v>
      </c>
      <c r="K24" s="215"/>
      <c r="L24" s="214"/>
      <c r="M24" s="215"/>
      <c r="N24" s="214"/>
      <c r="O24" s="215"/>
      <c r="P24" s="362"/>
      <c r="Q24" s="363"/>
      <c r="R24" s="362"/>
      <c r="S24" s="363"/>
      <c r="T24" s="362"/>
      <c r="U24" s="215"/>
      <c r="V24" s="214"/>
      <c r="W24" s="215"/>
      <c r="X24" s="214"/>
      <c r="Y24" s="215"/>
      <c r="Z24" s="214"/>
      <c r="AA24" s="215"/>
      <c r="AB24" s="214"/>
      <c r="AC24" s="215"/>
      <c r="AD24" s="214"/>
      <c r="AE24" s="215"/>
      <c r="AF24" s="214"/>
      <c r="AG24" s="215"/>
      <c r="AH24" s="214"/>
      <c r="AI24" s="215"/>
      <c r="AJ24" s="214"/>
      <c r="AK24" s="215"/>
      <c r="AL24" s="214"/>
      <c r="AM24" s="215"/>
      <c r="AN24" s="214"/>
      <c r="AO24" s="215"/>
      <c r="AP24" s="214"/>
      <c r="AQ24" s="215"/>
      <c r="AR24" s="214"/>
      <c r="AS24" s="215"/>
      <c r="AT24" s="214"/>
      <c r="AU24" s="215"/>
      <c r="AV24" s="214"/>
      <c r="AW24" s="215"/>
      <c r="AX24" s="214"/>
      <c r="AY24" s="215"/>
      <c r="AZ24" s="243">
        <f t="shared" si="0"/>
        <v>0</v>
      </c>
    </row>
    <row r="25" spans="1:238" s="79" customFormat="1">
      <c r="A25" s="234">
        <v>41792</v>
      </c>
      <c r="B25" s="280" t="s">
        <v>268</v>
      </c>
      <c r="C25" s="285" t="s">
        <v>731</v>
      </c>
      <c r="D25" s="214"/>
      <c r="E25" s="215">
        <v>15.5</v>
      </c>
      <c r="F25" s="214"/>
      <c r="G25" s="215"/>
      <c r="H25" s="214"/>
      <c r="I25" s="215"/>
      <c r="J25" s="214"/>
      <c r="K25" s="215"/>
      <c r="L25" s="214"/>
      <c r="M25" s="215"/>
      <c r="N25" s="214"/>
      <c r="O25" s="215"/>
      <c r="P25" s="362">
        <v>15.5</v>
      </c>
      <c r="Q25" s="363"/>
      <c r="R25" s="362"/>
      <c r="S25" s="363"/>
      <c r="T25" s="362"/>
      <c r="U25" s="215"/>
      <c r="V25" s="214"/>
      <c r="W25" s="215"/>
      <c r="X25" s="214"/>
      <c r="Y25" s="215"/>
      <c r="Z25" s="214"/>
      <c r="AA25" s="215"/>
      <c r="AB25" s="321"/>
      <c r="AC25" s="215"/>
      <c r="AD25" s="214"/>
      <c r="AE25" s="215"/>
      <c r="AF25" s="214"/>
      <c r="AG25" s="215"/>
      <c r="AH25" s="214"/>
      <c r="AI25" s="215"/>
      <c r="AJ25" s="214"/>
      <c r="AK25" s="215"/>
      <c r="AL25" s="214"/>
      <c r="AM25" s="215"/>
      <c r="AN25" s="214"/>
      <c r="AO25" s="215"/>
      <c r="AP25" s="214"/>
      <c r="AQ25" s="215"/>
      <c r="AR25" s="214"/>
      <c r="AS25" s="215"/>
      <c r="AT25" s="214"/>
      <c r="AU25" s="215"/>
      <c r="AV25" s="214"/>
      <c r="AW25" s="215"/>
      <c r="AX25" s="214"/>
      <c r="AY25" s="215"/>
      <c r="AZ25" s="243">
        <f t="shared" si="0"/>
        <v>0</v>
      </c>
    </row>
    <row r="26" spans="1:238" s="79" customFormat="1">
      <c r="A26" s="234">
        <v>41793</v>
      </c>
      <c r="B26" s="257" t="s">
        <v>876</v>
      </c>
      <c r="C26" s="285" t="s">
        <v>713</v>
      </c>
      <c r="D26" s="214"/>
      <c r="E26" s="215"/>
      <c r="F26" s="214">
        <v>5000</v>
      </c>
      <c r="G26" s="215"/>
      <c r="H26" s="214"/>
      <c r="I26" s="215"/>
      <c r="J26" s="214"/>
      <c r="K26" s="215"/>
      <c r="L26" s="214"/>
      <c r="M26" s="215"/>
      <c r="N26" s="214"/>
      <c r="O26" s="215"/>
      <c r="P26" s="362"/>
      <c r="Q26" s="363"/>
      <c r="R26" s="362"/>
      <c r="S26" s="363"/>
      <c r="T26" s="362"/>
      <c r="U26" s="215"/>
      <c r="V26" s="214"/>
      <c r="W26" s="215"/>
      <c r="X26" s="214"/>
      <c r="Y26" s="215"/>
      <c r="Z26" s="214"/>
      <c r="AA26" s="215"/>
      <c r="AB26" s="214"/>
      <c r="AC26" s="215"/>
      <c r="AD26" s="214"/>
      <c r="AE26" s="215">
        <v>5000</v>
      </c>
      <c r="AF26" s="214"/>
      <c r="AG26" s="215"/>
      <c r="AH26" s="214"/>
      <c r="AI26" s="215"/>
      <c r="AJ26" s="214"/>
      <c r="AK26" s="215"/>
      <c r="AL26" s="214"/>
      <c r="AM26" s="215"/>
      <c r="AN26" s="214"/>
      <c r="AO26" s="215"/>
      <c r="AP26" s="214"/>
      <c r="AQ26" s="215"/>
      <c r="AR26" s="214"/>
      <c r="AS26" s="215"/>
      <c r="AT26" s="214"/>
      <c r="AU26" s="215"/>
      <c r="AV26" s="214"/>
      <c r="AW26" s="215"/>
      <c r="AX26" s="214"/>
      <c r="AY26" s="215"/>
      <c r="AZ26" s="243">
        <f>+D26-E26+F26-G26+H26-I26+J26-K26+L26-M26+N26-O26+P26-Q26+R26-S26+T26-U26+V26-W26+X26-Y26+Z26-AA26+AB26-AC26+AD26-AE26+AF26-AG26+AH26-AI26+AJ26-AK26+AL26-AM26+AN26-AO26+AP26-AQ26+AR26-AS26+AT26-AU26+AV26-AW26+AX26-AY26</f>
        <v>0</v>
      </c>
    </row>
    <row r="27" spans="1:238" s="79" customFormat="1">
      <c r="A27" s="261">
        <v>41800</v>
      </c>
      <c r="B27" s="257" t="s">
        <v>857</v>
      </c>
      <c r="C27" s="284" t="s">
        <v>732</v>
      </c>
      <c r="D27" s="214">
        <v>600</v>
      </c>
      <c r="E27" s="215"/>
      <c r="F27" s="214"/>
      <c r="G27" s="215"/>
      <c r="H27" s="214"/>
      <c r="I27" s="215"/>
      <c r="J27" s="214"/>
      <c r="K27" s="215"/>
      <c r="L27" s="214"/>
      <c r="M27" s="215"/>
      <c r="N27" s="214"/>
      <c r="O27" s="215"/>
      <c r="P27" s="214"/>
      <c r="Q27" s="215"/>
      <c r="R27" s="214"/>
      <c r="S27" s="215"/>
      <c r="T27" s="214"/>
      <c r="U27" s="215"/>
      <c r="V27" s="214"/>
      <c r="W27" s="215"/>
      <c r="X27" s="214"/>
      <c r="Y27" s="215"/>
      <c r="Z27" s="214"/>
      <c r="AA27" s="319"/>
      <c r="AB27" s="214"/>
      <c r="AC27" s="320">
        <v>600</v>
      </c>
      <c r="AD27" s="214"/>
      <c r="AE27" s="215"/>
      <c r="AF27" s="214"/>
      <c r="AG27" s="215"/>
      <c r="AH27" s="214"/>
      <c r="AI27" s="215"/>
      <c r="AJ27" s="214"/>
      <c r="AK27" s="215"/>
      <c r="AL27" s="214"/>
      <c r="AM27" s="215"/>
      <c r="AN27" s="214"/>
      <c r="AO27" s="215"/>
      <c r="AP27" s="214"/>
      <c r="AQ27" s="215"/>
      <c r="AR27" s="214"/>
      <c r="AS27" s="215"/>
      <c r="AT27" s="214"/>
      <c r="AU27" s="215"/>
      <c r="AV27" s="214"/>
      <c r="AW27" s="215"/>
      <c r="AX27" s="214"/>
      <c r="AY27" s="215"/>
      <c r="AZ27" s="243">
        <f t="shared" si="0"/>
        <v>0</v>
      </c>
    </row>
    <row r="28" spans="1:238" s="79" customFormat="1">
      <c r="A28" s="234">
        <v>41801</v>
      </c>
      <c r="B28" s="280" t="s">
        <v>873</v>
      </c>
      <c r="C28" s="284" t="s">
        <v>714</v>
      </c>
      <c r="D28" s="214"/>
      <c r="E28" s="215"/>
      <c r="F28" s="214"/>
      <c r="G28" s="215"/>
      <c r="H28" s="214"/>
      <c r="I28" s="215"/>
      <c r="J28" s="214"/>
      <c r="K28" s="215"/>
      <c r="L28" s="214"/>
      <c r="M28" s="215"/>
      <c r="N28" s="214"/>
      <c r="O28" s="215"/>
      <c r="P28" s="214"/>
      <c r="Q28" s="215"/>
      <c r="R28" s="214">
        <v>2500</v>
      </c>
      <c r="S28" s="215"/>
      <c r="T28" s="214"/>
      <c r="U28" s="215"/>
      <c r="V28" s="214"/>
      <c r="W28" s="215"/>
      <c r="X28" s="214"/>
      <c r="Y28" s="215"/>
      <c r="Z28" s="214"/>
      <c r="AA28" s="215"/>
      <c r="AB28" s="214"/>
      <c r="AC28" s="215"/>
      <c r="AD28" s="214"/>
      <c r="AE28" s="215">
        <v>2500</v>
      </c>
      <c r="AF28" s="214"/>
      <c r="AG28" s="215"/>
      <c r="AH28" s="214"/>
      <c r="AI28" s="215"/>
      <c r="AJ28" s="214"/>
      <c r="AK28" s="215"/>
      <c r="AL28" s="214"/>
      <c r="AM28" s="215"/>
      <c r="AN28" s="214"/>
      <c r="AO28" s="215"/>
      <c r="AP28" s="214"/>
      <c r="AQ28" s="215"/>
      <c r="AR28" s="214"/>
      <c r="AS28" s="215"/>
      <c r="AT28" s="214"/>
      <c r="AU28" s="215"/>
      <c r="AV28" s="214"/>
      <c r="AW28" s="215"/>
      <c r="AX28" s="214"/>
      <c r="AY28" s="215"/>
      <c r="AZ28" s="243">
        <f>+D28-E28+F28-G28+H28-I28+J28-K28+L28-M28+N28-O28+P28-Q28+R28-S28+T28-U28+V28-W28+X28-Y28+Z28-AA28+AB28-AC28+AD28-AE28+AF28-AG28+AH28-AI28+AJ28-AK28+AL28-AM28+AN28-AO28+AP28-AQ28+AR28-AS28+AT28-AU28+AV28-AW28+AX28-AY28</f>
        <v>0</v>
      </c>
    </row>
    <row r="29" spans="1:238" s="79" customFormat="1">
      <c r="A29" s="234">
        <v>41808</v>
      </c>
      <c r="B29" s="262" t="s">
        <v>853</v>
      </c>
      <c r="C29" s="318" t="s">
        <v>733</v>
      </c>
      <c r="D29" s="214"/>
      <c r="E29" s="215">
        <v>701.25</v>
      </c>
      <c r="F29" s="214"/>
      <c r="G29" s="215"/>
      <c r="H29" s="214"/>
      <c r="I29" s="215"/>
      <c r="J29" s="214"/>
      <c r="K29" s="215"/>
      <c r="L29" s="214"/>
      <c r="M29" s="215"/>
      <c r="N29" s="214"/>
      <c r="O29" s="215"/>
      <c r="P29" s="214"/>
      <c r="Q29" s="215"/>
      <c r="R29" s="214"/>
      <c r="S29" s="215"/>
      <c r="T29" s="214"/>
      <c r="U29" s="215"/>
      <c r="V29" s="214"/>
      <c r="W29" s="215"/>
      <c r="X29" s="214"/>
      <c r="Y29" s="215"/>
      <c r="Z29" s="214"/>
      <c r="AA29" s="215"/>
      <c r="AB29" s="322"/>
      <c r="AC29" s="215"/>
      <c r="AD29" s="214"/>
      <c r="AE29" s="215"/>
      <c r="AF29" s="214"/>
      <c r="AG29" s="215"/>
      <c r="AH29" s="214"/>
      <c r="AI29" s="215"/>
      <c r="AJ29" s="214"/>
      <c r="AK29" s="215"/>
      <c r="AL29" s="214"/>
      <c r="AM29" s="215"/>
      <c r="AN29" s="214"/>
      <c r="AO29" s="215"/>
      <c r="AP29" s="214"/>
      <c r="AQ29" s="215"/>
      <c r="AR29" s="214"/>
      <c r="AS29" s="215"/>
      <c r="AT29" s="214"/>
      <c r="AU29" s="215"/>
      <c r="AV29" s="214"/>
      <c r="AW29" s="215"/>
      <c r="AX29" s="214">
        <v>701.25</v>
      </c>
      <c r="AY29" s="215"/>
      <c r="AZ29" s="243">
        <f t="shared" si="0"/>
        <v>0</v>
      </c>
      <c r="BB29" s="277" t="s">
        <v>877</v>
      </c>
    </row>
    <row r="30" spans="1:238" s="79" customFormat="1">
      <c r="A30" s="234">
        <v>41808</v>
      </c>
      <c r="B30" s="280" t="s">
        <v>852</v>
      </c>
      <c r="C30" s="284" t="s">
        <v>734</v>
      </c>
      <c r="D30" s="214"/>
      <c r="E30" s="215">
        <v>1497</v>
      </c>
      <c r="F30" s="214"/>
      <c r="G30" s="215"/>
      <c r="H30" s="214"/>
      <c r="I30" s="215"/>
      <c r="J30" s="214">
        <v>1497</v>
      </c>
      <c r="K30" s="215"/>
      <c r="L30" s="214"/>
      <c r="M30" s="215"/>
      <c r="N30" s="214"/>
      <c r="O30" s="215"/>
      <c r="P30" s="214"/>
      <c r="Q30" s="215"/>
      <c r="R30" s="214"/>
      <c r="S30" s="215"/>
      <c r="T30" s="214"/>
      <c r="U30" s="215"/>
      <c r="V30" s="214"/>
      <c r="W30" s="215"/>
      <c r="X30" s="214"/>
      <c r="Y30" s="215"/>
      <c r="Z30" s="214"/>
      <c r="AA30" s="215"/>
      <c r="AB30" s="214"/>
      <c r="AC30" s="215"/>
      <c r="AD30" s="214"/>
      <c r="AE30" s="215"/>
      <c r="AF30" s="214"/>
      <c r="AG30" s="215"/>
      <c r="AH30" s="214"/>
      <c r="AI30" s="215"/>
      <c r="AJ30" s="214"/>
      <c r="AK30" s="215"/>
      <c r="AL30" s="214"/>
      <c r="AM30" s="215"/>
      <c r="AN30" s="214"/>
      <c r="AO30" s="215"/>
      <c r="AP30" s="214"/>
      <c r="AQ30" s="215"/>
      <c r="AR30" s="214"/>
      <c r="AS30" s="215"/>
      <c r="AT30" s="214"/>
      <c r="AU30" s="215"/>
      <c r="AV30" s="214"/>
      <c r="AW30" s="215"/>
      <c r="AX30" s="214"/>
      <c r="AY30" s="215"/>
      <c r="AZ30" s="243">
        <f t="shared" si="0"/>
        <v>0</v>
      </c>
    </row>
    <row r="31" spans="1:238" s="79" customFormat="1">
      <c r="A31" s="234">
        <v>41808</v>
      </c>
      <c r="B31" s="262" t="s">
        <v>875</v>
      </c>
      <c r="C31" s="318" t="s">
        <v>735</v>
      </c>
      <c r="D31" s="214"/>
      <c r="E31" s="215">
        <v>4190</v>
      </c>
      <c r="F31" s="214"/>
      <c r="G31" s="215"/>
      <c r="H31" s="214"/>
      <c r="I31" s="215"/>
      <c r="J31" s="214"/>
      <c r="K31" s="215"/>
      <c r="L31" s="214"/>
      <c r="M31" s="215"/>
      <c r="N31" s="214"/>
      <c r="O31" s="215"/>
      <c r="P31" s="214"/>
      <c r="Q31" s="215"/>
      <c r="R31" s="214"/>
      <c r="S31" s="215"/>
      <c r="T31" s="214"/>
      <c r="U31" s="215"/>
      <c r="V31" s="214"/>
      <c r="W31" s="215"/>
      <c r="X31" s="214"/>
      <c r="Y31" s="215"/>
      <c r="Z31" s="214"/>
      <c r="AA31" s="215"/>
      <c r="AB31" s="214"/>
      <c r="AC31" s="215"/>
      <c r="AD31" s="214"/>
      <c r="AE31" s="215"/>
      <c r="AF31" s="214"/>
      <c r="AG31" s="215"/>
      <c r="AH31" s="214"/>
      <c r="AI31" s="215"/>
      <c r="AJ31" s="214"/>
      <c r="AK31" s="215"/>
      <c r="AL31" s="214"/>
      <c r="AM31" s="215"/>
      <c r="AN31" s="214"/>
      <c r="AO31" s="215"/>
      <c r="AP31" s="214"/>
      <c r="AQ31" s="215"/>
      <c r="AR31" s="214"/>
      <c r="AS31" s="215"/>
      <c r="AT31" s="214"/>
      <c r="AU31" s="215"/>
      <c r="AV31" s="214"/>
      <c r="AW31" s="215"/>
      <c r="AX31" s="214">
        <v>4190</v>
      </c>
      <c r="AY31" s="215"/>
      <c r="AZ31" s="243">
        <f t="shared" si="0"/>
        <v>0</v>
      </c>
      <c r="BB31" s="277" t="s">
        <v>877</v>
      </c>
    </row>
    <row r="32" spans="1:238" s="79" customFormat="1">
      <c r="A32" s="234">
        <v>41808</v>
      </c>
      <c r="B32" s="280" t="s">
        <v>854</v>
      </c>
      <c r="C32" s="284" t="s">
        <v>736</v>
      </c>
      <c r="D32" s="214"/>
      <c r="E32" s="215">
        <v>18750</v>
      </c>
      <c r="F32" s="214"/>
      <c r="G32" s="215"/>
      <c r="H32" s="214"/>
      <c r="I32" s="215"/>
      <c r="J32" s="214"/>
      <c r="K32" s="215"/>
      <c r="L32" s="214"/>
      <c r="M32" s="215"/>
      <c r="N32" s="214"/>
      <c r="O32" s="215"/>
      <c r="P32" s="214"/>
      <c r="Q32" s="215"/>
      <c r="R32" s="214"/>
      <c r="S32" s="215"/>
      <c r="T32" s="214"/>
      <c r="U32" s="215"/>
      <c r="V32" s="214"/>
      <c r="W32" s="215"/>
      <c r="X32" s="214"/>
      <c r="Y32" s="215"/>
      <c r="Z32" s="214"/>
      <c r="AA32" s="215"/>
      <c r="AB32" s="214"/>
      <c r="AC32" s="215"/>
      <c r="AD32" s="214"/>
      <c r="AE32" s="215"/>
      <c r="AF32" s="214"/>
      <c r="AG32" s="215"/>
      <c r="AH32" s="214"/>
      <c r="AI32" s="215"/>
      <c r="AJ32" s="214"/>
      <c r="AK32" s="215"/>
      <c r="AL32" s="214"/>
      <c r="AM32" s="215"/>
      <c r="AN32" s="214"/>
      <c r="AO32" s="215"/>
      <c r="AP32" s="214"/>
      <c r="AQ32" s="215"/>
      <c r="AR32" s="214"/>
      <c r="AS32" s="215"/>
      <c r="AT32" s="214"/>
      <c r="AU32" s="215"/>
      <c r="AV32" s="214"/>
      <c r="AW32" s="215"/>
      <c r="AX32" s="214">
        <v>18750</v>
      </c>
      <c r="AY32" s="215"/>
      <c r="AZ32" s="243">
        <f t="shared" si="0"/>
        <v>0</v>
      </c>
      <c r="BB32" s="277" t="s">
        <v>877</v>
      </c>
    </row>
    <row r="33" spans="1:54" s="79" customFormat="1">
      <c r="A33" s="234">
        <v>41808</v>
      </c>
      <c r="B33" s="257" t="s">
        <v>844</v>
      </c>
      <c r="C33" s="284" t="s">
        <v>880</v>
      </c>
      <c r="D33" s="214">
        <v>30000</v>
      </c>
      <c r="E33" s="215"/>
      <c r="F33" s="214"/>
      <c r="G33" s="215"/>
      <c r="H33" s="214"/>
      <c r="I33" s="215"/>
      <c r="J33" s="214"/>
      <c r="K33" s="215"/>
      <c r="L33" s="214"/>
      <c r="M33" s="215"/>
      <c r="N33" s="214"/>
      <c r="O33" s="215"/>
      <c r="P33" s="214"/>
      <c r="Q33" s="215"/>
      <c r="R33" s="214"/>
      <c r="S33" s="215"/>
      <c r="T33" s="214"/>
      <c r="U33" s="215"/>
      <c r="V33" s="214"/>
      <c r="W33" s="215"/>
      <c r="X33" s="214"/>
      <c r="Y33" s="215"/>
      <c r="Z33" s="214"/>
      <c r="AA33" s="215"/>
      <c r="AB33" s="214"/>
      <c r="AC33" s="215"/>
      <c r="AD33" s="214"/>
      <c r="AE33" s="215">
        <v>30000</v>
      </c>
      <c r="AF33" s="214"/>
      <c r="AG33" s="215"/>
      <c r="AH33" s="214"/>
      <c r="AI33" s="215"/>
      <c r="AJ33" s="214"/>
      <c r="AK33" s="215"/>
      <c r="AL33" s="214"/>
      <c r="AM33" s="215"/>
      <c r="AN33" s="214"/>
      <c r="AO33" s="215"/>
      <c r="AP33" s="214"/>
      <c r="AQ33" s="215"/>
      <c r="AR33" s="214"/>
      <c r="AS33" s="215"/>
      <c r="AT33" s="214"/>
      <c r="AU33" s="215"/>
      <c r="AV33" s="214"/>
      <c r="AW33" s="215"/>
      <c r="AX33" s="214"/>
      <c r="AY33" s="215"/>
      <c r="AZ33" s="243">
        <f t="shared" si="0"/>
        <v>0</v>
      </c>
    </row>
    <row r="34" spans="1:54" s="79" customFormat="1">
      <c r="A34" s="234">
        <v>41821</v>
      </c>
      <c r="B34" s="280" t="s">
        <v>268</v>
      </c>
      <c r="C34" s="284" t="s">
        <v>737</v>
      </c>
      <c r="D34" s="214"/>
      <c r="E34" s="215">
        <v>20</v>
      </c>
      <c r="F34" s="214"/>
      <c r="G34" s="215"/>
      <c r="H34" s="214"/>
      <c r="I34" s="215"/>
      <c r="J34" s="214"/>
      <c r="K34" s="215"/>
      <c r="L34" s="214"/>
      <c r="M34" s="215"/>
      <c r="N34" s="214"/>
      <c r="O34" s="215"/>
      <c r="P34" s="214">
        <v>20</v>
      </c>
      <c r="Q34" s="215"/>
      <c r="R34" s="214"/>
      <c r="S34" s="215"/>
      <c r="T34" s="214"/>
      <c r="U34" s="215"/>
      <c r="V34" s="214"/>
      <c r="W34" s="215"/>
      <c r="X34" s="214"/>
      <c r="Y34" s="215"/>
      <c r="Z34" s="214"/>
      <c r="AA34" s="215"/>
      <c r="AB34" s="214"/>
      <c r="AC34" s="215"/>
      <c r="AD34" s="274"/>
      <c r="AE34" s="215"/>
      <c r="AF34" s="214"/>
      <c r="AG34" s="215"/>
      <c r="AH34" s="214"/>
      <c r="AI34" s="215"/>
      <c r="AJ34" s="214"/>
      <c r="AK34" s="215"/>
      <c r="AL34" s="214"/>
      <c r="AM34" s="215"/>
      <c r="AN34" s="214"/>
      <c r="AO34" s="215"/>
      <c r="AP34" s="214"/>
      <c r="AQ34" s="215"/>
      <c r="AR34" s="214"/>
      <c r="AS34" s="215"/>
      <c r="AT34" s="214"/>
      <c r="AU34" s="215"/>
      <c r="AV34" s="214"/>
      <c r="AW34" s="215"/>
      <c r="AX34" s="214"/>
      <c r="AY34" s="215"/>
      <c r="AZ34" s="243">
        <f t="shared" si="0"/>
        <v>0</v>
      </c>
    </row>
    <row r="35" spans="1:54" s="79" customFormat="1">
      <c r="A35" s="234">
        <v>41834</v>
      </c>
      <c r="B35" s="257" t="s">
        <v>858</v>
      </c>
      <c r="C35" s="284" t="s">
        <v>738</v>
      </c>
      <c r="D35" s="214">
        <v>200</v>
      </c>
      <c r="F35" s="214"/>
      <c r="G35" s="215"/>
      <c r="H35" s="214"/>
      <c r="I35" s="215"/>
      <c r="J35" s="214"/>
      <c r="K35" s="215"/>
      <c r="L35" s="214"/>
      <c r="M35" s="215"/>
      <c r="N35" s="214"/>
      <c r="O35" s="215"/>
      <c r="P35" s="214"/>
      <c r="Q35" s="215"/>
      <c r="R35" s="214"/>
      <c r="S35" s="215"/>
      <c r="T35" s="214"/>
      <c r="U35" s="215"/>
      <c r="V35" s="214"/>
      <c r="W35" s="215"/>
      <c r="X35" s="214"/>
      <c r="Y35" s="215"/>
      <c r="Z35" s="214"/>
      <c r="AA35" s="215"/>
      <c r="AB35" s="214"/>
      <c r="AC35" s="215">
        <v>200</v>
      </c>
      <c r="AD35" s="214"/>
      <c r="AE35" s="215"/>
      <c r="AF35" s="214"/>
      <c r="AG35" s="215"/>
      <c r="AH35" s="214"/>
      <c r="AI35" s="215"/>
      <c r="AJ35" s="214"/>
      <c r="AK35" s="215"/>
      <c r="AL35" s="214"/>
      <c r="AM35" s="215"/>
      <c r="AN35" s="214"/>
      <c r="AO35" s="215"/>
      <c r="AP35" s="214"/>
      <c r="AQ35" s="215"/>
      <c r="AR35" s="214"/>
      <c r="AS35" s="215"/>
      <c r="AT35" s="214"/>
      <c r="AU35" s="215"/>
      <c r="AV35" s="214"/>
      <c r="AW35" s="215"/>
      <c r="AX35" s="214"/>
      <c r="AY35" s="215"/>
      <c r="AZ35" s="243">
        <f t="shared" si="0"/>
        <v>0</v>
      </c>
    </row>
    <row r="36" spans="1:54" s="79" customFormat="1">
      <c r="A36" s="234">
        <v>41878</v>
      </c>
      <c r="B36" s="257" t="s">
        <v>859</v>
      </c>
      <c r="C36" s="284" t="s">
        <v>739</v>
      </c>
      <c r="D36" s="214">
        <v>200</v>
      </c>
      <c r="E36" s="215"/>
      <c r="F36" s="214"/>
      <c r="G36" s="215"/>
      <c r="H36" s="214"/>
      <c r="I36" s="215"/>
      <c r="J36" s="214"/>
      <c r="K36" s="215"/>
      <c r="L36" s="214"/>
      <c r="M36" s="215"/>
      <c r="N36" s="214"/>
      <c r="O36" s="215"/>
      <c r="P36" s="362"/>
      <c r="Q36" s="215"/>
      <c r="R36" s="214"/>
      <c r="S36" s="215"/>
      <c r="T36" s="214"/>
      <c r="U36" s="215"/>
      <c r="V36" s="214"/>
      <c r="W36" s="215"/>
      <c r="X36" s="214"/>
      <c r="Y36" s="215"/>
      <c r="Z36" s="214"/>
      <c r="AA36" s="215"/>
      <c r="AB36" s="214"/>
      <c r="AC36" s="215">
        <v>200</v>
      </c>
      <c r="AD36" s="214"/>
      <c r="AE36" s="215"/>
      <c r="AF36" s="214"/>
      <c r="AG36" s="215"/>
      <c r="AH36" s="214"/>
      <c r="AI36" s="215"/>
      <c r="AJ36" s="214"/>
      <c r="AK36" s="215"/>
      <c r="AL36" s="214"/>
      <c r="AM36" s="215"/>
      <c r="AN36" s="214"/>
      <c r="AO36" s="215"/>
      <c r="AP36" s="214"/>
      <c r="AQ36" s="215"/>
      <c r="AR36" s="214"/>
      <c r="AS36" s="215"/>
      <c r="AT36" s="214"/>
      <c r="AU36" s="215"/>
      <c r="AV36" s="214"/>
      <c r="AW36" s="215"/>
      <c r="AX36" s="214"/>
      <c r="AY36" s="215"/>
      <c r="AZ36" s="243">
        <f t="shared" si="0"/>
        <v>0</v>
      </c>
    </row>
    <row r="37" spans="1:54" s="79" customFormat="1">
      <c r="A37" s="234">
        <v>41883</v>
      </c>
      <c r="B37" s="317" t="s">
        <v>863</v>
      </c>
      <c r="C37" s="318" t="s">
        <v>740</v>
      </c>
      <c r="D37" s="214"/>
      <c r="E37" s="215">
        <v>480</v>
      </c>
      <c r="F37" s="214"/>
      <c r="G37" s="215"/>
      <c r="H37" s="214"/>
      <c r="I37" s="215"/>
      <c r="J37" s="214"/>
      <c r="K37" s="215"/>
      <c r="L37" s="214"/>
      <c r="M37" s="215"/>
      <c r="N37" s="214"/>
      <c r="O37" s="215"/>
      <c r="P37" s="362">
        <v>480</v>
      </c>
      <c r="Q37" s="215"/>
      <c r="R37" s="214"/>
      <c r="S37" s="215"/>
      <c r="T37" s="214"/>
      <c r="U37" s="215"/>
      <c r="V37" s="214"/>
      <c r="W37" s="215"/>
      <c r="X37" s="214"/>
      <c r="Y37" s="215"/>
      <c r="Z37" s="214"/>
      <c r="AA37" s="215"/>
      <c r="AB37" s="214"/>
      <c r="AC37" s="215"/>
      <c r="AD37" s="214"/>
      <c r="AE37" s="215"/>
      <c r="AF37" s="214"/>
      <c r="AG37" s="215"/>
      <c r="AH37" s="214"/>
      <c r="AI37" s="215"/>
      <c r="AJ37" s="214"/>
      <c r="AK37" s="215"/>
      <c r="AL37" s="214"/>
      <c r="AM37" s="215"/>
      <c r="AN37" s="214"/>
      <c r="AO37" s="215"/>
      <c r="AP37" s="214"/>
      <c r="AQ37" s="215"/>
      <c r="AR37" s="214"/>
      <c r="AS37" s="215"/>
      <c r="AT37" s="214"/>
      <c r="AU37" s="215"/>
      <c r="AV37" s="214"/>
      <c r="AW37" s="215"/>
      <c r="AX37" s="214"/>
      <c r="AY37" s="215"/>
      <c r="AZ37" s="243">
        <f t="shared" si="0"/>
        <v>0</v>
      </c>
    </row>
    <row r="38" spans="1:54" s="79" customFormat="1">
      <c r="A38" s="234">
        <v>41892</v>
      </c>
      <c r="B38" s="280" t="s">
        <v>845</v>
      </c>
      <c r="C38" s="284" t="s">
        <v>741</v>
      </c>
      <c r="D38" s="214"/>
      <c r="E38" s="215">
        <f>748+1356</f>
        <v>2104</v>
      </c>
      <c r="F38" s="214"/>
      <c r="G38" s="215"/>
      <c r="H38" s="214"/>
      <c r="I38" s="215"/>
      <c r="J38" s="214"/>
      <c r="K38" s="215"/>
      <c r="L38" s="214"/>
      <c r="M38" s="215"/>
      <c r="N38" s="214"/>
      <c r="O38" s="215"/>
      <c r="P38" s="362">
        <f>748+189+189</f>
        <v>1126</v>
      </c>
      <c r="Q38" s="215"/>
      <c r="R38" s="214"/>
      <c r="S38" s="215"/>
      <c r="T38" s="214"/>
      <c r="U38" s="215"/>
      <c r="V38" s="214"/>
      <c r="W38" s="215"/>
      <c r="X38" s="214"/>
      <c r="Y38" s="215"/>
      <c r="Z38" s="214"/>
      <c r="AA38" s="215"/>
      <c r="AB38" s="214"/>
      <c r="AC38" s="215"/>
      <c r="AD38" s="214"/>
      <c r="AE38" s="215"/>
      <c r="AF38" s="214"/>
      <c r="AG38" s="215"/>
      <c r="AH38" s="214"/>
      <c r="AI38" s="215"/>
      <c r="AJ38" s="214"/>
      <c r="AK38" s="215"/>
      <c r="AL38" s="214"/>
      <c r="AM38" s="215"/>
      <c r="AN38" s="214"/>
      <c r="AO38" s="215"/>
      <c r="AP38" s="214"/>
      <c r="AQ38" s="215"/>
      <c r="AR38" s="214"/>
      <c r="AS38" s="215"/>
      <c r="AT38" s="214"/>
      <c r="AU38" s="215"/>
      <c r="AV38" s="214"/>
      <c r="AW38" s="215"/>
      <c r="AX38" s="214">
        <f>299+679</f>
        <v>978</v>
      </c>
      <c r="AY38" s="215"/>
      <c r="AZ38" s="243">
        <f t="shared" si="0"/>
        <v>0</v>
      </c>
      <c r="BB38" s="277" t="s">
        <v>877</v>
      </c>
    </row>
    <row r="39" spans="1:54" s="79" customFormat="1">
      <c r="A39" s="234">
        <v>41894</v>
      </c>
      <c r="B39" s="257" t="s">
        <v>860</v>
      </c>
      <c r="C39" s="284" t="s">
        <v>742</v>
      </c>
      <c r="D39" s="214">
        <v>9000</v>
      </c>
      <c r="E39" s="215"/>
      <c r="F39" s="214"/>
      <c r="G39" s="215"/>
      <c r="H39" s="214"/>
      <c r="I39" s="215"/>
      <c r="J39" s="214"/>
      <c r="K39" s="215"/>
      <c r="L39" s="214"/>
      <c r="M39" s="215"/>
      <c r="N39" s="214"/>
      <c r="O39" s="215"/>
      <c r="P39" s="362"/>
      <c r="Q39" s="215"/>
      <c r="R39" s="214"/>
      <c r="S39" s="215"/>
      <c r="T39" s="214"/>
      <c r="U39" s="215"/>
      <c r="V39" s="214"/>
      <c r="W39" s="215"/>
      <c r="X39" s="214"/>
      <c r="Y39" s="215"/>
      <c r="Z39" s="214"/>
      <c r="AA39" s="215"/>
      <c r="AB39" s="214"/>
      <c r="AC39" s="215">
        <v>9000</v>
      </c>
      <c r="AD39" s="214"/>
      <c r="AE39" s="215"/>
      <c r="AF39" s="214"/>
      <c r="AG39" s="215"/>
      <c r="AH39" s="214"/>
      <c r="AI39" s="215"/>
      <c r="AJ39" s="214"/>
      <c r="AK39" s="215"/>
      <c r="AL39" s="214"/>
      <c r="AM39" s="215"/>
      <c r="AN39" s="214"/>
      <c r="AO39" s="215"/>
      <c r="AP39" s="214"/>
      <c r="AQ39" s="215"/>
      <c r="AR39" s="214"/>
      <c r="AS39" s="215"/>
      <c r="AT39" s="214"/>
      <c r="AU39" s="215"/>
      <c r="AV39" s="214"/>
      <c r="AW39" s="215"/>
      <c r="AX39" s="214"/>
      <c r="AY39" s="215"/>
      <c r="AZ39" s="243">
        <f t="shared" si="0"/>
        <v>0</v>
      </c>
    </row>
    <row r="40" spans="1:54" s="79" customFormat="1">
      <c r="A40" s="234">
        <v>41913</v>
      </c>
      <c r="B40" s="257" t="s">
        <v>870</v>
      </c>
      <c r="C40" s="284" t="s">
        <v>743</v>
      </c>
      <c r="D40" s="214">
        <v>5400</v>
      </c>
      <c r="E40" s="215"/>
      <c r="F40" s="214"/>
      <c r="G40" s="215"/>
      <c r="H40" s="214"/>
      <c r="I40" s="215"/>
      <c r="J40" s="214"/>
      <c r="K40" s="215"/>
      <c r="L40" s="214"/>
      <c r="M40" s="215"/>
      <c r="N40" s="214"/>
      <c r="O40" s="215"/>
      <c r="P40" s="362"/>
      <c r="Q40" s="215"/>
      <c r="R40" s="214"/>
      <c r="S40" s="215"/>
      <c r="T40" s="214"/>
      <c r="U40" s="215"/>
      <c r="V40" s="214"/>
      <c r="W40" s="215"/>
      <c r="X40" s="214"/>
      <c r="Y40" s="215"/>
      <c r="Z40" s="214"/>
      <c r="AA40" s="215"/>
      <c r="AB40" s="214"/>
      <c r="AC40" s="215">
        <v>5400</v>
      </c>
      <c r="AD40" s="214"/>
      <c r="AE40" s="215"/>
      <c r="AF40" s="214"/>
      <c r="AG40" s="215"/>
      <c r="AH40" s="214"/>
      <c r="AI40" s="215"/>
      <c r="AJ40" s="214"/>
      <c r="AK40" s="215"/>
      <c r="AL40" s="214"/>
      <c r="AM40" s="215"/>
      <c r="AN40" s="214"/>
      <c r="AO40" s="215"/>
      <c r="AP40" s="214"/>
      <c r="AQ40" s="215"/>
      <c r="AR40" s="214"/>
      <c r="AS40" s="215"/>
      <c r="AT40" s="214"/>
      <c r="AU40" s="215"/>
      <c r="AV40" s="214"/>
      <c r="AW40" s="215"/>
      <c r="AX40" s="214"/>
      <c r="AY40" s="215"/>
      <c r="AZ40" s="243">
        <f t="shared" si="0"/>
        <v>0</v>
      </c>
    </row>
    <row r="41" spans="1:54" s="79" customFormat="1">
      <c r="A41" s="234">
        <v>41913</v>
      </c>
      <c r="B41" s="280" t="s">
        <v>268</v>
      </c>
      <c r="C41" s="284" t="s">
        <v>744</v>
      </c>
      <c r="D41" s="214"/>
      <c r="E41" s="215">
        <v>84.5</v>
      </c>
      <c r="F41" s="214"/>
      <c r="G41" s="215"/>
      <c r="H41" s="214"/>
      <c r="I41" s="215"/>
      <c r="J41" s="214"/>
      <c r="K41" s="215"/>
      <c r="L41" s="214"/>
      <c r="M41" s="215"/>
      <c r="N41" s="214"/>
      <c r="O41" s="215"/>
      <c r="P41" s="214">
        <v>84.5</v>
      </c>
      <c r="Q41" s="215"/>
      <c r="R41" s="214"/>
      <c r="S41" s="215"/>
      <c r="T41" s="214"/>
      <c r="U41" s="215"/>
      <c r="V41" s="214"/>
      <c r="W41" s="215"/>
      <c r="X41" s="214"/>
      <c r="Y41" s="215"/>
      <c r="Z41" s="214"/>
      <c r="AA41" s="215"/>
      <c r="AB41" s="214"/>
      <c r="AC41" s="215"/>
      <c r="AD41" s="214"/>
      <c r="AE41" s="215"/>
      <c r="AF41" s="214"/>
      <c r="AG41" s="215"/>
      <c r="AH41" s="214"/>
      <c r="AI41" s="215"/>
      <c r="AJ41" s="214"/>
      <c r="AK41" s="215"/>
      <c r="AL41" s="214"/>
      <c r="AM41" s="215"/>
      <c r="AN41" s="214"/>
      <c r="AO41" s="215"/>
      <c r="AP41" s="214"/>
      <c r="AQ41" s="215"/>
      <c r="AR41" s="214"/>
      <c r="AS41" s="215"/>
      <c r="AT41" s="214"/>
      <c r="AU41" s="215"/>
      <c r="AV41" s="214"/>
      <c r="AW41" s="215"/>
      <c r="AX41" s="214"/>
      <c r="AY41" s="215"/>
      <c r="AZ41" s="243">
        <f t="shared" si="0"/>
        <v>0</v>
      </c>
    </row>
    <row r="42" spans="1:54" s="79" customFormat="1">
      <c r="A42" s="234">
        <v>41919</v>
      </c>
      <c r="B42" s="257" t="s">
        <v>861</v>
      </c>
      <c r="C42" s="284" t="s">
        <v>770</v>
      </c>
      <c r="D42" s="214"/>
      <c r="E42" s="215">
        <v>1566</v>
      </c>
      <c r="F42" s="214"/>
      <c r="G42" s="215"/>
      <c r="H42" s="214"/>
      <c r="I42" s="215"/>
      <c r="J42" s="214"/>
      <c r="K42" s="215"/>
      <c r="L42" s="214"/>
      <c r="M42" s="215"/>
      <c r="N42" s="214">
        <v>1566</v>
      </c>
      <c r="O42" s="215"/>
      <c r="P42" s="214"/>
      <c r="Q42" s="215"/>
      <c r="R42" s="214"/>
      <c r="S42" s="215"/>
      <c r="U42" s="215"/>
      <c r="V42" s="214"/>
      <c r="W42" s="215"/>
      <c r="X42" s="214"/>
      <c r="Y42" s="215"/>
      <c r="Z42" s="214"/>
      <c r="AA42" s="215"/>
      <c r="AB42" s="214"/>
      <c r="AC42" s="215"/>
      <c r="AD42" s="214"/>
      <c r="AE42" s="215"/>
      <c r="AF42" s="214"/>
      <c r="AG42" s="215"/>
      <c r="AH42" s="214"/>
      <c r="AI42" s="215"/>
      <c r="AJ42" s="214"/>
      <c r="AK42" s="215"/>
      <c r="AL42" s="214"/>
      <c r="AM42" s="215"/>
      <c r="AN42" s="214"/>
      <c r="AO42" s="215"/>
      <c r="AP42" s="214"/>
      <c r="AQ42" s="215"/>
      <c r="AR42" s="214"/>
      <c r="AS42" s="215"/>
      <c r="AT42" s="214"/>
      <c r="AU42" s="215"/>
      <c r="AV42" s="214"/>
      <c r="AW42" s="215"/>
      <c r="AX42" s="214"/>
      <c r="AY42" s="215"/>
      <c r="AZ42" s="243">
        <f>+D42-E42+F42-G42+H42-I42+J42-K42+L42-M42+N42-O42+P42-Q42+R42-S42+K43-U42+V42-W42+X42-Y42+Z42-AA42+AB42-AC42+AD42-AE42+AF42-AG42+AH42-AI42+AJ42-AK42+AL42-AM42+AN42-AO42+AP42-AQ42+AR42-AS42+AT42-AU42+AV42-AW42+AX42-AY42</f>
        <v>0</v>
      </c>
    </row>
    <row r="43" spans="1:54" s="79" customFormat="1">
      <c r="A43" s="234">
        <v>41939</v>
      </c>
      <c r="B43" s="280" t="s">
        <v>895</v>
      </c>
      <c r="C43" s="284" t="s">
        <v>881</v>
      </c>
      <c r="D43" s="214"/>
      <c r="E43" s="215"/>
      <c r="F43" s="214"/>
      <c r="G43" s="215"/>
      <c r="H43" s="214"/>
      <c r="I43" s="215"/>
      <c r="J43" s="214"/>
      <c r="K43" s="214"/>
      <c r="L43" s="214"/>
      <c r="M43" s="215"/>
      <c r="N43" s="214"/>
      <c r="O43" s="215"/>
      <c r="P43" s="214"/>
      <c r="Q43" s="215"/>
      <c r="R43" s="214"/>
      <c r="S43" s="215"/>
      <c r="T43" s="214"/>
      <c r="U43" s="215"/>
      <c r="V43" s="214"/>
      <c r="W43" s="215"/>
      <c r="X43" s="214"/>
      <c r="Y43" s="215"/>
      <c r="Z43" s="214"/>
      <c r="AA43" s="215"/>
      <c r="AB43" s="214"/>
      <c r="AC43" s="215"/>
      <c r="AD43" s="214"/>
      <c r="AE43" s="215">
        <v>15000</v>
      </c>
      <c r="AF43" s="214"/>
      <c r="AG43" s="215"/>
      <c r="AH43" s="214"/>
      <c r="AI43" s="215"/>
      <c r="AJ43" s="214"/>
      <c r="AK43" s="215"/>
      <c r="AL43" s="214"/>
      <c r="AM43" s="215"/>
      <c r="AN43" s="214">
        <v>15000</v>
      </c>
      <c r="AO43" s="215"/>
      <c r="AP43" s="214"/>
      <c r="AQ43" s="215"/>
      <c r="AR43" s="214"/>
      <c r="AS43" s="215"/>
      <c r="AT43" s="214"/>
      <c r="AU43" s="215"/>
      <c r="AV43" s="214"/>
      <c r="AW43" s="215"/>
      <c r="AX43" s="214"/>
      <c r="AY43" s="215"/>
      <c r="AZ43" s="243">
        <f>+D43-E43+F43-G43+H43-I43+J43-K43+L43-M43+N43-O43+P43-Q43+R43-S43+K44-U43+V43-W43+X43-Y43+Z43-AA43+AB43-AC43+AD43-AE43+AF43-AG43+AH43-AI43+AJ43-AK43+AL43-AM43+AN43-AO43+AP43-AQ43+AR43-AS43+AT43-AU43+AV43-AW43+AX43-AY43</f>
        <v>0</v>
      </c>
    </row>
    <row r="44" spans="1:54" s="79" customFormat="1">
      <c r="A44" s="366">
        <v>41939</v>
      </c>
      <c r="B44" s="367" t="s">
        <v>872</v>
      </c>
      <c r="C44" s="318"/>
      <c r="D44" s="362"/>
      <c r="E44" s="363"/>
      <c r="F44" s="362"/>
      <c r="G44" s="363"/>
      <c r="H44" s="362"/>
      <c r="I44" s="363"/>
      <c r="J44" s="362"/>
      <c r="K44" s="363"/>
      <c r="L44" s="362"/>
      <c r="M44" s="363"/>
      <c r="N44" s="362"/>
      <c r="O44" s="363"/>
      <c r="P44" s="362"/>
      <c r="Q44" s="363"/>
      <c r="R44" s="362"/>
      <c r="S44" s="363"/>
      <c r="T44" s="362"/>
      <c r="U44" s="363"/>
      <c r="V44" s="362"/>
      <c r="W44" s="363"/>
      <c r="X44" s="362"/>
      <c r="Y44" s="363"/>
      <c r="Z44" s="362"/>
      <c r="AA44" s="363"/>
      <c r="AB44" s="362"/>
      <c r="AC44" s="363"/>
      <c r="AD44" s="362"/>
      <c r="AE44" s="363"/>
      <c r="AF44" s="362"/>
      <c r="AG44" s="363"/>
      <c r="AH44" s="362"/>
      <c r="AI44" s="363"/>
      <c r="AJ44" s="362"/>
      <c r="AK44" s="363"/>
      <c r="AL44" s="362"/>
      <c r="AM44" s="363"/>
      <c r="AN44" s="362"/>
      <c r="AO44" s="363"/>
      <c r="AP44" s="362"/>
      <c r="AQ44" s="363">
        <v>15000</v>
      </c>
      <c r="AR44" s="362"/>
      <c r="AS44" s="363"/>
      <c r="AT44" s="362">
        <v>15000</v>
      </c>
      <c r="AU44" s="215"/>
      <c r="AV44" s="214"/>
      <c r="AW44" s="215"/>
      <c r="AX44" s="214"/>
      <c r="AY44" s="215"/>
      <c r="AZ44" s="243">
        <f>+D44-E44+F44-G44+H44-I44+J44-K44+L44-M44+N44-O44+P44-Q44+R44-S44+K45-U44+V44-W44+X44-Y44+Z44-AA44+AB44-AC44+AD44-AE44+AF44-AG44+AH44-AI44+AJ44-AK44+AL44-AM44+AN44-AO44+AP44-AQ44+AR44-AS44+AT44-AU44+AV44-AW44+AX44-AY44</f>
        <v>0</v>
      </c>
    </row>
    <row r="45" spans="1:54" s="79" customFormat="1">
      <c r="A45" s="234">
        <v>41939</v>
      </c>
      <c r="B45" s="257" t="s">
        <v>866</v>
      </c>
      <c r="C45" s="284" t="s">
        <v>771</v>
      </c>
      <c r="D45" s="214"/>
      <c r="E45" s="215">
        <v>1324</v>
      </c>
      <c r="F45" s="214"/>
      <c r="G45" s="215"/>
      <c r="H45" s="214"/>
      <c r="I45" s="215"/>
      <c r="J45" s="214"/>
      <c r="K45" s="215"/>
      <c r="L45" s="214">
        <v>1324</v>
      </c>
      <c r="M45" s="215"/>
      <c r="N45" s="214"/>
      <c r="O45" s="215"/>
      <c r="P45" s="214"/>
      <c r="Q45" s="215"/>
      <c r="R45" s="214"/>
      <c r="S45" s="215"/>
      <c r="T45" s="214"/>
      <c r="U45" s="215"/>
      <c r="V45" s="214"/>
      <c r="W45" s="215"/>
      <c r="X45" s="362"/>
      <c r="Y45" s="363"/>
      <c r="Z45" s="362"/>
      <c r="AA45" s="215"/>
      <c r="AB45" s="214"/>
      <c r="AC45" s="215"/>
      <c r="AD45" s="214"/>
      <c r="AE45" s="215"/>
      <c r="AF45" s="214"/>
      <c r="AG45" s="215"/>
      <c r="AH45" s="214"/>
      <c r="AI45" s="215"/>
      <c r="AJ45" s="214"/>
      <c r="AK45" s="215"/>
      <c r="AL45" s="214"/>
      <c r="AM45" s="215"/>
      <c r="AN45" s="214"/>
      <c r="AO45" s="215"/>
      <c r="AP45" s="214"/>
      <c r="AQ45" s="215"/>
      <c r="AR45" s="214"/>
      <c r="AS45" s="215"/>
      <c r="AT45" s="214"/>
      <c r="AU45" s="215"/>
      <c r="AV45" s="214"/>
      <c r="AW45" s="215"/>
      <c r="AX45" s="214"/>
      <c r="AY45" s="215"/>
      <c r="AZ45" s="243">
        <f t="shared" si="0"/>
        <v>0</v>
      </c>
    </row>
    <row r="46" spans="1:54" s="79" customFormat="1">
      <c r="A46" s="234">
        <v>41939</v>
      </c>
      <c r="B46" s="257" t="s">
        <v>867</v>
      </c>
      <c r="C46" s="284" t="s">
        <v>882</v>
      </c>
      <c r="D46" s="214"/>
      <c r="E46" s="215">
        <f>4000+1000</f>
        <v>5000</v>
      </c>
      <c r="F46" s="214"/>
      <c r="G46" s="215"/>
      <c r="H46" s="214"/>
      <c r="I46" s="215"/>
      <c r="J46" s="214"/>
      <c r="K46" s="323"/>
      <c r="L46" s="214"/>
      <c r="M46" s="215"/>
      <c r="N46" s="214"/>
      <c r="O46" s="215"/>
      <c r="P46" s="214"/>
      <c r="Q46" s="215"/>
      <c r="R46" s="214"/>
      <c r="S46" s="215"/>
      <c r="T46" s="214"/>
      <c r="U46" s="215"/>
      <c r="V46" s="214"/>
      <c r="W46" s="215"/>
      <c r="X46" s="362"/>
      <c r="Y46" s="363"/>
      <c r="Z46" s="362">
        <v>5000</v>
      </c>
      <c r="AA46" s="215"/>
      <c r="AB46" s="214"/>
      <c r="AC46" s="215"/>
      <c r="AD46" s="214"/>
      <c r="AE46" s="215"/>
      <c r="AF46" s="214"/>
      <c r="AG46" s="215"/>
      <c r="AH46" s="214"/>
      <c r="AI46" s="215"/>
      <c r="AJ46" s="214"/>
      <c r="AK46" s="215"/>
      <c r="AL46" s="214"/>
      <c r="AM46" s="215"/>
      <c r="AN46" s="214"/>
      <c r="AO46" s="215"/>
      <c r="AP46" s="214"/>
      <c r="AQ46" s="215"/>
      <c r="AR46" s="214"/>
      <c r="AS46" s="215"/>
      <c r="AT46" s="214"/>
      <c r="AU46" s="215"/>
      <c r="AV46" s="214"/>
      <c r="AW46" s="215"/>
      <c r="AX46" s="214"/>
      <c r="AY46" s="215"/>
      <c r="AZ46" s="243">
        <f t="shared" si="0"/>
        <v>0</v>
      </c>
    </row>
    <row r="47" spans="1:54" s="79" customFormat="1">
      <c r="A47" s="234">
        <v>41942</v>
      </c>
      <c r="B47" s="257" t="s">
        <v>868</v>
      </c>
      <c r="C47" s="284" t="s">
        <v>883</v>
      </c>
      <c r="D47" s="214"/>
      <c r="E47" s="215">
        <v>4603.58</v>
      </c>
      <c r="F47" s="214"/>
      <c r="G47" s="215"/>
      <c r="H47" s="214"/>
      <c r="I47" s="215"/>
      <c r="J47" s="214"/>
      <c r="K47" s="215"/>
      <c r="L47" s="214"/>
      <c r="M47" s="215"/>
      <c r="N47" s="214"/>
      <c r="O47" s="215"/>
      <c r="P47" s="214"/>
      <c r="Q47" s="215"/>
      <c r="R47" s="214"/>
      <c r="S47" s="215"/>
      <c r="T47" s="214"/>
      <c r="U47" s="215"/>
      <c r="V47" s="214"/>
      <c r="W47" s="215"/>
      <c r="X47" s="362">
        <v>4603.58</v>
      </c>
      <c r="Y47" s="363"/>
      <c r="Z47" s="362"/>
      <c r="AA47" s="215"/>
      <c r="AB47" s="214"/>
      <c r="AC47" s="215"/>
      <c r="AD47" s="214"/>
      <c r="AE47" s="215"/>
      <c r="AF47" s="214"/>
      <c r="AG47" s="215"/>
      <c r="AH47" s="214"/>
      <c r="AI47" s="215"/>
      <c r="AJ47" s="214"/>
      <c r="AK47" s="215"/>
      <c r="AL47" s="214"/>
      <c r="AM47" s="215"/>
      <c r="AN47" s="214"/>
      <c r="AO47" s="215"/>
      <c r="AP47" s="214"/>
      <c r="AQ47" s="215"/>
      <c r="AR47" s="214"/>
      <c r="AS47" s="215"/>
      <c r="AT47" s="214"/>
      <c r="AU47" s="215"/>
      <c r="AV47" s="214"/>
      <c r="AW47" s="215"/>
      <c r="AX47" s="214"/>
      <c r="AY47" s="215"/>
      <c r="AZ47" s="243">
        <f t="shared" si="0"/>
        <v>0</v>
      </c>
    </row>
    <row r="48" spans="1:54" s="79" customFormat="1">
      <c r="A48" s="234">
        <v>41944</v>
      </c>
      <c r="B48" s="257" t="s">
        <v>862</v>
      </c>
      <c r="C48" s="284" t="s">
        <v>884</v>
      </c>
      <c r="D48" s="214">
        <v>7000</v>
      </c>
      <c r="E48" s="215"/>
      <c r="F48" s="214"/>
      <c r="G48" s="215"/>
      <c r="H48" s="214"/>
      <c r="I48" s="215"/>
      <c r="J48" s="214"/>
      <c r="K48" s="215"/>
      <c r="L48" s="214"/>
      <c r="M48" s="215"/>
      <c r="N48" s="214"/>
      <c r="O48" s="215"/>
      <c r="P48" s="214"/>
      <c r="Q48" s="215"/>
      <c r="R48" s="214"/>
      <c r="S48" s="215"/>
      <c r="T48" s="214"/>
      <c r="U48" s="215"/>
      <c r="V48" s="214"/>
      <c r="W48" s="215"/>
      <c r="X48" s="362"/>
      <c r="Y48" s="363"/>
      <c r="Z48" s="362"/>
      <c r="AA48" s="215"/>
      <c r="AB48" s="214"/>
      <c r="AC48" s="215">
        <v>7000</v>
      </c>
      <c r="AD48" s="214"/>
      <c r="AE48" s="215"/>
      <c r="AF48" s="214"/>
      <c r="AG48" s="215"/>
      <c r="AH48" s="214"/>
      <c r="AI48" s="215"/>
      <c r="AJ48" s="214"/>
      <c r="AK48" s="215"/>
      <c r="AL48" s="214"/>
      <c r="AM48" s="215"/>
      <c r="AN48" s="214"/>
      <c r="AO48" s="215"/>
      <c r="AP48" s="214"/>
      <c r="AQ48" s="215"/>
      <c r="AR48" s="214"/>
      <c r="AS48" s="215"/>
      <c r="AT48" s="214"/>
      <c r="AU48" s="215"/>
      <c r="AV48" s="214"/>
      <c r="AW48" s="215"/>
      <c r="AX48" s="214"/>
      <c r="AY48" s="215"/>
      <c r="AZ48" s="243">
        <f t="shared" si="0"/>
        <v>0</v>
      </c>
    </row>
    <row r="49" spans="1:53" s="79" customFormat="1">
      <c r="A49" s="234">
        <v>41946</v>
      </c>
      <c r="B49" s="280" t="s">
        <v>268</v>
      </c>
      <c r="C49" s="284" t="s">
        <v>885</v>
      </c>
      <c r="D49" s="214"/>
      <c r="E49" s="215">
        <v>95.5</v>
      </c>
      <c r="F49" s="214"/>
      <c r="G49" s="215"/>
      <c r="H49" s="214"/>
      <c r="I49" s="215"/>
      <c r="J49" s="214"/>
      <c r="K49" s="215"/>
      <c r="L49" s="214"/>
      <c r="M49" s="215"/>
      <c r="N49" s="214"/>
      <c r="O49" s="215"/>
      <c r="P49" s="214">
        <v>95.5</v>
      </c>
      <c r="Q49" s="215"/>
      <c r="R49" s="214"/>
      <c r="S49" s="215"/>
      <c r="T49" s="214"/>
      <c r="U49" s="215"/>
      <c r="V49" s="214"/>
      <c r="W49" s="215"/>
      <c r="X49" s="214"/>
      <c r="Y49" s="215"/>
      <c r="Z49" s="214"/>
      <c r="AA49" s="215"/>
      <c r="AB49" s="214"/>
      <c r="AC49" s="215"/>
      <c r="AD49" s="214"/>
      <c r="AE49" s="215"/>
      <c r="AF49" s="214"/>
      <c r="AG49" s="215"/>
      <c r="AH49" s="214"/>
      <c r="AI49" s="215"/>
      <c r="AJ49" s="214"/>
      <c r="AK49" s="215"/>
      <c r="AL49" s="214"/>
      <c r="AM49" s="215"/>
      <c r="AN49" s="214"/>
      <c r="AO49" s="215"/>
      <c r="AP49" s="214"/>
      <c r="AQ49" s="215"/>
      <c r="AR49" s="214"/>
      <c r="AS49" s="215"/>
      <c r="AT49" s="214"/>
      <c r="AU49" s="215"/>
      <c r="AV49" s="214"/>
      <c r="AW49" s="215"/>
      <c r="AX49" s="214"/>
      <c r="AY49" s="215"/>
      <c r="AZ49" s="243">
        <f t="shared" si="0"/>
        <v>0</v>
      </c>
    </row>
    <row r="50" spans="1:53" s="79" customFormat="1">
      <c r="A50" s="234">
        <v>41974</v>
      </c>
      <c r="B50" s="257" t="s">
        <v>268</v>
      </c>
      <c r="C50" s="284" t="s">
        <v>887</v>
      </c>
      <c r="D50" s="214"/>
      <c r="E50" s="215">
        <v>80</v>
      </c>
      <c r="F50" s="214"/>
      <c r="G50" s="215"/>
      <c r="H50" s="214"/>
      <c r="I50" s="215"/>
      <c r="J50" s="214"/>
      <c r="K50" s="215"/>
      <c r="L50" s="214"/>
      <c r="M50" s="215"/>
      <c r="N50" s="214"/>
      <c r="O50" s="215"/>
      <c r="P50" s="214">
        <v>80</v>
      </c>
      <c r="Q50" s="215"/>
      <c r="R50" s="214"/>
      <c r="S50" s="215"/>
      <c r="T50" s="214"/>
      <c r="U50" s="215"/>
      <c r="V50" s="214"/>
      <c r="W50" s="215"/>
      <c r="X50" s="214"/>
      <c r="Y50" s="215"/>
      <c r="Z50" s="214"/>
      <c r="AA50" s="215"/>
      <c r="AB50" s="214"/>
      <c r="AC50" s="215"/>
      <c r="AD50" s="214"/>
      <c r="AE50" s="215"/>
      <c r="AF50" s="214"/>
      <c r="AG50" s="215"/>
      <c r="AH50" s="214"/>
      <c r="AI50" s="215"/>
      <c r="AJ50" s="214"/>
      <c r="AK50" s="215"/>
      <c r="AL50" s="214"/>
      <c r="AM50" s="215"/>
      <c r="AN50" s="214"/>
      <c r="AO50" s="215"/>
      <c r="AP50" s="214"/>
      <c r="AQ50" s="215"/>
      <c r="AR50" s="214"/>
      <c r="AS50" s="215"/>
      <c r="AT50" s="214"/>
      <c r="AU50" s="215"/>
      <c r="AV50" s="214"/>
      <c r="AW50" s="215"/>
      <c r="AX50" s="214"/>
      <c r="AY50" s="215"/>
      <c r="AZ50" s="243">
        <f t="shared" si="0"/>
        <v>0</v>
      </c>
    </row>
    <row r="51" spans="1:53" s="79" customFormat="1">
      <c r="A51" s="234">
        <v>41975</v>
      </c>
      <c r="B51" s="257" t="s">
        <v>864</v>
      </c>
      <c r="C51" s="284" t="s">
        <v>886</v>
      </c>
      <c r="D51" s="214">
        <v>200</v>
      </c>
      <c r="E51" s="215"/>
      <c r="F51" s="214"/>
      <c r="G51" s="215"/>
      <c r="H51" s="214"/>
      <c r="I51" s="215"/>
      <c r="J51" s="214"/>
      <c r="K51" s="215"/>
      <c r="L51" s="214"/>
      <c r="M51" s="215"/>
      <c r="N51" s="214"/>
      <c r="O51" s="215"/>
      <c r="P51" s="214"/>
      <c r="Q51" s="215"/>
      <c r="R51" s="214"/>
      <c r="S51" s="215"/>
      <c r="T51" s="214"/>
      <c r="U51" s="215"/>
      <c r="V51" s="214"/>
      <c r="W51" s="215"/>
      <c r="X51" s="214"/>
      <c r="Y51" s="215"/>
      <c r="Z51" s="214"/>
      <c r="AA51" s="215"/>
      <c r="AB51" s="214"/>
      <c r="AC51" s="215">
        <v>200</v>
      </c>
      <c r="AD51" s="214"/>
      <c r="AE51" s="215"/>
      <c r="AF51" s="214"/>
      <c r="AG51" s="215"/>
      <c r="AH51" s="214"/>
      <c r="AI51" s="215"/>
      <c r="AJ51" s="214"/>
      <c r="AK51" s="215"/>
      <c r="AL51" s="214"/>
      <c r="AM51" s="215"/>
      <c r="AN51" s="214"/>
      <c r="AO51" s="215"/>
      <c r="AP51" s="214"/>
      <c r="AQ51" s="215"/>
      <c r="AR51" s="214"/>
      <c r="AS51" s="215"/>
      <c r="AT51" s="214"/>
      <c r="AU51" s="215"/>
      <c r="AV51" s="214"/>
      <c r="AW51" s="215"/>
      <c r="AX51" s="214"/>
      <c r="AY51" s="215"/>
      <c r="AZ51" s="243">
        <f t="shared" si="0"/>
        <v>0</v>
      </c>
    </row>
    <row r="52" spans="1:53" s="79" customFormat="1">
      <c r="A52" s="234">
        <v>41988</v>
      </c>
      <c r="B52" s="257" t="s">
        <v>865</v>
      </c>
      <c r="C52" s="284" t="s">
        <v>888</v>
      </c>
      <c r="D52" s="214">
        <v>3153</v>
      </c>
      <c r="E52" s="215"/>
      <c r="F52" s="214"/>
      <c r="G52" s="215"/>
      <c r="H52" s="214"/>
      <c r="I52" s="215"/>
      <c r="J52" s="214"/>
      <c r="K52" s="215"/>
      <c r="L52" s="214"/>
      <c r="M52" s="215"/>
      <c r="N52" s="214"/>
      <c r="O52" s="215"/>
      <c r="P52" s="214"/>
      <c r="Q52" s="215"/>
      <c r="R52" s="214"/>
      <c r="S52" s="215"/>
      <c r="T52" s="214"/>
      <c r="U52" s="215"/>
      <c r="V52" s="214"/>
      <c r="W52" s="215"/>
      <c r="X52" s="214"/>
      <c r="Y52" s="215"/>
      <c r="Z52" s="214"/>
      <c r="AA52" s="215"/>
      <c r="AB52" s="214"/>
      <c r="AC52" s="215"/>
      <c r="AD52" s="214"/>
      <c r="AE52" s="215"/>
      <c r="AF52" s="214"/>
      <c r="AG52" s="215"/>
      <c r="AH52" s="214"/>
      <c r="AI52" s="215">
        <v>3153</v>
      </c>
      <c r="AJ52" s="214"/>
      <c r="AK52" s="215"/>
      <c r="AL52" s="214"/>
      <c r="AM52" s="215"/>
      <c r="AN52" s="214"/>
      <c r="AO52" s="215"/>
      <c r="AP52" s="214"/>
      <c r="AQ52" s="215"/>
      <c r="AR52" s="214"/>
      <c r="AS52" s="215"/>
      <c r="AT52" s="214"/>
      <c r="AU52" s="215"/>
      <c r="AV52" s="214"/>
      <c r="AW52" s="215"/>
      <c r="AX52" s="214"/>
      <c r="AY52" s="215"/>
      <c r="AZ52" s="243">
        <f t="shared" si="0"/>
        <v>0</v>
      </c>
    </row>
    <row r="53" spans="1:53" s="79" customFormat="1">
      <c r="A53" s="234">
        <v>41995</v>
      </c>
      <c r="B53" s="257" t="s">
        <v>869</v>
      </c>
      <c r="C53" s="284" t="s">
        <v>889</v>
      </c>
      <c r="D53" s="214"/>
      <c r="E53" s="215">
        <v>1580</v>
      </c>
      <c r="F53" s="214"/>
      <c r="G53" s="215"/>
      <c r="H53" s="214"/>
      <c r="I53" s="215"/>
      <c r="J53" s="214"/>
      <c r="K53" s="215"/>
      <c r="L53" s="214"/>
      <c r="M53" s="215"/>
      <c r="N53" s="214"/>
      <c r="O53" s="215"/>
      <c r="P53" s="214">
        <v>1580</v>
      </c>
      <c r="Q53" s="215"/>
      <c r="R53" s="214"/>
      <c r="S53" s="215"/>
      <c r="T53" s="214"/>
      <c r="U53" s="215"/>
      <c r="V53" s="214"/>
      <c r="W53" s="215"/>
      <c r="X53" s="214"/>
      <c r="Y53" s="215"/>
      <c r="Z53" s="214"/>
      <c r="AA53" s="215"/>
      <c r="AB53" s="214"/>
      <c r="AC53" s="215"/>
      <c r="AD53" s="214"/>
      <c r="AE53" s="215"/>
      <c r="AF53" s="214"/>
      <c r="AG53" s="215"/>
      <c r="AH53" s="214"/>
      <c r="AI53" s="215"/>
      <c r="AJ53" s="214"/>
      <c r="AK53" s="215"/>
      <c r="AL53" s="214"/>
      <c r="AM53" s="215"/>
      <c r="AN53" s="214"/>
      <c r="AO53" s="215"/>
      <c r="AP53" s="214"/>
      <c r="AQ53" s="215"/>
      <c r="AR53" s="214"/>
      <c r="AS53" s="215"/>
      <c r="AT53" s="214"/>
      <c r="AU53" s="215"/>
      <c r="AV53" s="214"/>
      <c r="AW53" s="215"/>
      <c r="AX53" s="214"/>
      <c r="AY53" s="215"/>
      <c r="AZ53" s="243">
        <f t="shared" si="0"/>
        <v>0</v>
      </c>
    </row>
    <row r="54" spans="1:53" s="79" customFormat="1">
      <c r="A54" s="234">
        <v>42004</v>
      </c>
      <c r="B54" s="257" t="s">
        <v>46</v>
      </c>
      <c r="C54" s="284" t="s">
        <v>890</v>
      </c>
      <c r="D54" s="214">
        <v>9.1999999999999993</v>
      </c>
      <c r="E54" s="215"/>
      <c r="F54" s="214"/>
      <c r="G54" s="215"/>
      <c r="H54" s="214"/>
      <c r="I54" s="215"/>
      <c r="J54" s="214"/>
      <c r="K54" s="215"/>
      <c r="L54" s="214"/>
      <c r="M54" s="215"/>
      <c r="N54" s="214"/>
      <c r="O54" s="215"/>
      <c r="P54" s="214"/>
      <c r="Q54" s="215"/>
      <c r="R54" s="214"/>
      <c r="S54" s="215"/>
      <c r="T54" s="214"/>
      <c r="U54" s="215"/>
      <c r="V54" s="214"/>
      <c r="W54" s="215"/>
      <c r="X54" s="214"/>
      <c r="Y54" s="215"/>
      <c r="Z54" s="214"/>
      <c r="AA54" s="215"/>
      <c r="AB54" s="214"/>
      <c r="AC54" s="215"/>
      <c r="AD54" s="214"/>
      <c r="AE54" s="215"/>
      <c r="AF54" s="214"/>
      <c r="AG54" s="215">
        <v>9.1999999999999993</v>
      </c>
      <c r="AH54" s="214"/>
      <c r="AI54" s="215"/>
      <c r="AJ54" s="214"/>
      <c r="AK54" s="215"/>
      <c r="AL54" s="214"/>
      <c r="AM54" s="215"/>
      <c r="AN54" s="214"/>
      <c r="AO54" s="215"/>
      <c r="AP54" s="214"/>
      <c r="AQ54" s="215"/>
      <c r="AR54" s="214"/>
      <c r="AS54" s="215"/>
      <c r="AT54" s="214"/>
      <c r="AU54" s="215"/>
      <c r="AV54" s="214"/>
      <c r="AW54" s="215"/>
      <c r="AX54" s="214"/>
      <c r="AY54" s="215"/>
      <c r="AZ54" s="243">
        <f t="shared" si="0"/>
        <v>0</v>
      </c>
    </row>
    <row r="55" spans="1:53" s="79" customFormat="1">
      <c r="A55" s="234">
        <v>41995</v>
      </c>
      <c r="B55" s="280" t="s">
        <v>874</v>
      </c>
      <c r="C55" s="284" t="s">
        <v>891</v>
      </c>
      <c r="D55" s="214"/>
      <c r="E55" s="215"/>
      <c r="F55" s="214"/>
      <c r="G55" s="215"/>
      <c r="H55" s="214"/>
      <c r="I55" s="215"/>
      <c r="J55" s="214"/>
      <c r="K55" s="215"/>
      <c r="L55" s="214"/>
      <c r="M55" s="215"/>
      <c r="N55" s="214"/>
      <c r="O55" s="215"/>
      <c r="P55" s="214"/>
      <c r="Q55" s="215"/>
      <c r="R55" s="214"/>
      <c r="S55" s="215"/>
      <c r="T55" s="214"/>
      <c r="U55" s="215"/>
      <c r="V55" s="214"/>
      <c r="W55" s="215"/>
      <c r="X55" s="214">
        <v>113062.5</v>
      </c>
      <c r="Y55" s="215"/>
      <c r="Z55" s="214"/>
      <c r="AA55" s="215"/>
      <c r="AB55" s="214"/>
      <c r="AC55" s="215"/>
      <c r="AD55" s="214"/>
      <c r="AE55" s="215">
        <v>113062.5</v>
      </c>
      <c r="AF55" s="214"/>
      <c r="AG55" s="215"/>
      <c r="AH55" s="214"/>
      <c r="AI55" s="215"/>
      <c r="AJ55" s="214"/>
      <c r="AK55" s="215"/>
      <c r="AL55" s="214"/>
      <c r="AM55" s="215"/>
      <c r="AN55" s="214"/>
      <c r="AO55" s="215"/>
      <c r="AP55" s="214"/>
      <c r="AQ55" s="215"/>
      <c r="AR55" s="214"/>
      <c r="AS55" s="215"/>
      <c r="AT55" s="214"/>
      <c r="AU55" s="215"/>
      <c r="AV55" s="214"/>
      <c r="AW55" s="215"/>
      <c r="AX55" s="214"/>
      <c r="AY55" s="215"/>
      <c r="AZ55" s="243">
        <f t="shared" si="0"/>
        <v>0</v>
      </c>
    </row>
    <row r="56" spans="1:53" s="79" customFormat="1">
      <c r="A56" s="234">
        <v>42004</v>
      </c>
      <c r="B56" s="280" t="s">
        <v>46</v>
      </c>
      <c r="C56" s="284" t="s">
        <v>892</v>
      </c>
      <c r="D56" s="214"/>
      <c r="E56" s="215"/>
      <c r="F56" s="214"/>
      <c r="G56" s="215"/>
      <c r="H56" s="214"/>
      <c r="I56" s="215"/>
      <c r="J56" s="214"/>
      <c r="K56" s="215"/>
      <c r="L56" s="214"/>
      <c r="M56" s="215"/>
      <c r="N56" s="214"/>
      <c r="O56" s="215"/>
      <c r="P56" s="214"/>
      <c r="Q56" s="215"/>
      <c r="R56" s="214"/>
      <c r="S56" s="215"/>
      <c r="T56" s="214"/>
      <c r="U56" s="215"/>
      <c r="V56" s="214"/>
      <c r="W56" s="215"/>
      <c r="X56" s="214"/>
      <c r="Y56" s="215"/>
      <c r="Z56" s="214"/>
      <c r="AA56" s="215"/>
      <c r="AB56" s="214"/>
      <c r="AC56" s="215"/>
      <c r="AD56" s="214">
        <v>23429.1</v>
      </c>
      <c r="AE56" s="215"/>
      <c r="AF56" s="214"/>
      <c r="AG56" s="215">
        <v>23429.1</v>
      </c>
      <c r="AH56" s="214"/>
      <c r="AI56" s="215"/>
      <c r="AJ56" s="214"/>
      <c r="AK56" s="215"/>
      <c r="AL56" s="214"/>
      <c r="AM56" s="215"/>
      <c r="AN56" s="214"/>
      <c r="AO56" s="215"/>
      <c r="AP56" s="214"/>
      <c r="AQ56" s="215"/>
      <c r="AR56" s="214"/>
      <c r="AS56" s="215"/>
      <c r="AT56" s="214"/>
      <c r="AU56" s="215"/>
      <c r="AV56" s="214"/>
      <c r="AW56" s="215"/>
      <c r="AX56" s="214"/>
      <c r="AY56" s="215"/>
      <c r="AZ56" s="243">
        <f>+D56-E56+F56-G56+H56-I56+J56-K56+L56-M56+N56-O56+P56-Q56+R56-S56+T56-U56+V56-W56+X56-Y56+Z56-AA56+AB56-AC56+AD56-AE56+AF56-AG56+AH56-AI56+AJ56-AK56+AL56-AM56+AN56-AO56+AP56-AQ56+AR56-AS56+AT56-AU56+AV56-AW56+AX56-AY56</f>
        <v>0</v>
      </c>
    </row>
    <row r="57" spans="1:53" s="79" customFormat="1">
      <c r="A57" s="234">
        <v>42004</v>
      </c>
      <c r="B57" s="280" t="s">
        <v>925</v>
      </c>
      <c r="C57" s="284"/>
      <c r="D57" s="214"/>
      <c r="E57" s="215"/>
      <c r="F57" s="214"/>
      <c r="G57" s="215"/>
      <c r="H57" s="214"/>
      <c r="I57" s="215"/>
      <c r="J57" s="214"/>
      <c r="K57" s="215"/>
      <c r="L57" s="214"/>
      <c r="M57" s="215"/>
      <c r="N57" s="214"/>
      <c r="O57" s="215"/>
      <c r="P57" s="214"/>
      <c r="Q57" s="215"/>
      <c r="R57" s="214"/>
      <c r="S57" s="215"/>
      <c r="T57" s="214"/>
      <c r="U57" s="215"/>
      <c r="V57" s="214"/>
      <c r="W57" s="215"/>
      <c r="X57" s="214"/>
      <c r="Y57" s="215"/>
      <c r="Z57" s="214"/>
      <c r="AA57" s="215"/>
      <c r="AB57" s="214"/>
      <c r="AC57" s="215">
        <v>1000</v>
      </c>
      <c r="AD57" s="214"/>
      <c r="AE57" s="215"/>
      <c r="AF57" s="214"/>
      <c r="AG57" s="215"/>
      <c r="AH57" s="214"/>
      <c r="AI57" s="215"/>
      <c r="AJ57" s="214"/>
      <c r="AK57" s="215"/>
      <c r="AL57" s="214"/>
      <c r="AM57" s="215"/>
      <c r="AN57" s="214"/>
      <c r="AO57" s="215"/>
      <c r="AP57" s="214"/>
      <c r="AQ57" s="215"/>
      <c r="AR57" s="214"/>
      <c r="AS57" s="215"/>
      <c r="AT57" s="214"/>
      <c r="AU57" s="215"/>
      <c r="AV57" s="214"/>
      <c r="AW57" s="215"/>
      <c r="AX57" s="214">
        <v>1000</v>
      </c>
      <c r="AY57" s="215"/>
      <c r="AZ57" s="243">
        <f>+D57-E57+F57-G57+H57-I57+J57-K57+L57-M57+N57-O57+P57-Q57+R57-S57+T57-U57+V57-W57+X57-Y57+Z57-AA57+AB57-AC57+AD57-AE57+AF57-AG57+AH57-AI57+AJ57-AK57+AL57-AM57+AN57-AO57+AP57-AQ57+AR57-AS57+AT57-AU57+AV57-AW57+AX57-AY57</f>
        <v>0</v>
      </c>
    </row>
    <row r="58" spans="1:53" s="202" customFormat="1">
      <c r="A58" s="235"/>
      <c r="B58" s="207" t="s">
        <v>41</v>
      </c>
      <c r="C58" s="207"/>
      <c r="D58" s="216">
        <f>SUM(D8:D57)</f>
        <v>77714.319999999992</v>
      </c>
      <c r="E58" s="217"/>
      <c r="F58" s="216">
        <f>SUM(F8:F57)</f>
        <v>5000</v>
      </c>
      <c r="G58" s="217"/>
      <c r="H58" s="216">
        <f>SUM(H8:H57)</f>
        <v>993.2</v>
      </c>
      <c r="I58" s="217"/>
      <c r="J58" s="216">
        <f>SUM(J8:J57)</f>
        <v>14367</v>
      </c>
      <c r="K58" s="217"/>
      <c r="L58" s="216">
        <f>SUM(L8:L57)</f>
        <v>1324</v>
      </c>
      <c r="M58" s="217"/>
      <c r="N58" s="216">
        <f>SUM(N8:N57)</f>
        <v>3132</v>
      </c>
      <c r="O58" s="217"/>
      <c r="P58" s="216">
        <f>SUM(P8:P57)</f>
        <v>4026.2</v>
      </c>
      <c r="Q58" s="217"/>
      <c r="R58" s="216">
        <f>SUM(R8:R57)</f>
        <v>2500</v>
      </c>
      <c r="S58" s="217"/>
      <c r="T58" s="216">
        <f>SUM(T8:T57)</f>
        <v>235</v>
      </c>
      <c r="U58" s="217"/>
      <c r="V58" s="216">
        <f>SUM(V8:V57)</f>
        <v>0</v>
      </c>
      <c r="W58" s="217"/>
      <c r="X58" s="216">
        <f>SUM(X8:X57)</f>
        <v>117666.08</v>
      </c>
      <c r="Y58" s="217"/>
      <c r="Z58" s="216">
        <f>SUM(Z8:Z57)</f>
        <v>5000</v>
      </c>
      <c r="AA58" s="217"/>
      <c r="AB58" s="216">
        <f>SUM(AB8:AB57)</f>
        <v>0</v>
      </c>
      <c r="AC58" s="217"/>
      <c r="AD58" s="216">
        <f>SUM(AD8:AD57)</f>
        <v>995587.84</v>
      </c>
      <c r="AE58" s="217"/>
      <c r="AF58" s="216">
        <f>SUM(AF8:AF57)</f>
        <v>0</v>
      </c>
      <c r="AG58" s="217"/>
      <c r="AH58" s="216">
        <f>SUM(AH8:AH57)</f>
        <v>0</v>
      </c>
      <c r="AI58" s="217"/>
      <c r="AJ58" s="216">
        <f>SUM(AJ8:AJ57)</f>
        <v>950000</v>
      </c>
      <c r="AK58" s="217"/>
      <c r="AL58" s="216">
        <f>SUM(AL8:AL57)</f>
        <v>112480</v>
      </c>
      <c r="AM58" s="217"/>
      <c r="AN58" s="216">
        <f>SUM(AN8:AN57)</f>
        <v>20000</v>
      </c>
      <c r="AO58" s="217"/>
      <c r="AP58" s="216">
        <f>SUM(AP8:AP57)</f>
        <v>0</v>
      </c>
      <c r="AQ58" s="217"/>
      <c r="AR58" s="216">
        <f>SUM(AR8:AR57)</f>
        <v>0</v>
      </c>
      <c r="AS58" s="217"/>
      <c r="AT58" s="216">
        <f>SUM(AT8:AT57)</f>
        <v>15000</v>
      </c>
      <c r="AU58" s="217"/>
      <c r="AV58" s="216">
        <f>SUM(AV8:AV57)</f>
        <v>3313</v>
      </c>
      <c r="AW58" s="217"/>
      <c r="AX58" s="216">
        <f>SUM(AX8:AX57)</f>
        <v>31779.96</v>
      </c>
      <c r="AY58" s="217"/>
      <c r="AZ58" s="203">
        <f t="shared" si="0"/>
        <v>2360118.5999999996</v>
      </c>
      <c r="BA58" s="202" t="s">
        <v>28</v>
      </c>
    </row>
    <row r="59" spans="1:53" s="202" customFormat="1">
      <c r="A59" s="235"/>
      <c r="B59" s="204" t="s">
        <v>42</v>
      </c>
      <c r="C59" s="204"/>
      <c r="D59" s="218"/>
      <c r="E59" s="219">
        <f>SUM(E8:E57)</f>
        <v>62198.23</v>
      </c>
      <c r="F59" s="218"/>
      <c r="G59" s="219">
        <f>SUM(G8:G57)</f>
        <v>0</v>
      </c>
      <c r="H59" s="218"/>
      <c r="I59" s="219">
        <f>SUM(I8:I57)</f>
        <v>0</v>
      </c>
      <c r="J59" s="218"/>
      <c r="K59" s="219">
        <f>SUM(K8:K57)</f>
        <v>0</v>
      </c>
      <c r="L59" s="218"/>
      <c r="M59" s="219">
        <f>SUM(M8:M57)</f>
        <v>0</v>
      </c>
      <c r="N59" s="218"/>
      <c r="O59" s="219">
        <f>SUM(O8:O57)</f>
        <v>0</v>
      </c>
      <c r="P59" s="218"/>
      <c r="Q59" s="219">
        <f>SUM(Q8:Q57)</f>
        <v>0</v>
      </c>
      <c r="R59" s="218"/>
      <c r="S59" s="219">
        <f>SUM(S8:S57)</f>
        <v>0</v>
      </c>
      <c r="T59" s="218"/>
      <c r="U59" s="219">
        <f>SUM(U8:U57)</f>
        <v>0</v>
      </c>
      <c r="V59" s="218"/>
      <c r="W59" s="219">
        <f>SUM(W8:W57)</f>
        <v>0</v>
      </c>
      <c r="X59" s="218"/>
      <c r="Y59" s="219">
        <f>SUM(Y8:Y57)</f>
        <v>0</v>
      </c>
      <c r="Z59" s="218"/>
      <c r="AA59" s="219">
        <f>SUM(AA8:AA57)</f>
        <v>0</v>
      </c>
      <c r="AB59" s="218"/>
      <c r="AC59" s="219">
        <f>SUM(AC8:AC57)</f>
        <v>25000</v>
      </c>
      <c r="AD59" s="218"/>
      <c r="AE59" s="219">
        <f>SUM(AE8:AE57)</f>
        <v>175562.5</v>
      </c>
      <c r="AF59" s="218"/>
      <c r="AG59" s="219">
        <f>SUM(AG8:AG57)</f>
        <v>23438.3</v>
      </c>
      <c r="AH59" s="218"/>
      <c r="AI59" s="219">
        <f>SUM(AI8:AI57)</f>
        <v>3203</v>
      </c>
      <c r="AJ59" s="218"/>
      <c r="AK59" s="219">
        <f>SUM(AK8:AK57)</f>
        <v>0</v>
      </c>
      <c r="AL59" s="218"/>
      <c r="AM59" s="219">
        <f>SUM(AM8:AM57)</f>
        <v>0</v>
      </c>
      <c r="AN59" s="218"/>
      <c r="AO59" s="219">
        <f>SUM(AO8:AO57)</f>
        <v>0</v>
      </c>
      <c r="AP59" s="218"/>
      <c r="AQ59" s="219">
        <f>SUM(AQ8:AQ57)</f>
        <v>1082480</v>
      </c>
      <c r="AR59" s="218"/>
      <c r="AS59" s="219">
        <f>SUM(AS8:AS57)</f>
        <v>717018.69964090642</v>
      </c>
      <c r="AT59" s="218"/>
      <c r="AU59" s="219">
        <f>SUM(AU8:AU57)</f>
        <v>266104.87035909359</v>
      </c>
      <c r="AV59" s="218"/>
      <c r="AW59" s="219">
        <f>SUM(AW8:AW57)</f>
        <v>3312.9999999999991</v>
      </c>
      <c r="AX59" s="218"/>
      <c r="AY59" s="219">
        <f>SUM(AY8:AY57)</f>
        <v>1800</v>
      </c>
      <c r="AZ59" s="203">
        <f t="shared" si="0"/>
        <v>-2360118.6</v>
      </c>
      <c r="BA59" s="202" t="s">
        <v>29</v>
      </c>
    </row>
    <row r="60" spans="1:53" s="202" customFormat="1">
      <c r="A60" s="235"/>
      <c r="B60" s="204" t="s">
        <v>197</v>
      </c>
      <c r="C60" s="204"/>
      <c r="D60" s="220">
        <f>IF(D58&gt;=E59,D58-E59,"")</f>
        <v>15516.089999999989</v>
      </c>
      <c r="E60" s="221" t="str">
        <f>IF(D58&lt;E59,E59-D58,"")</f>
        <v/>
      </c>
      <c r="F60" s="220">
        <f>IF(F58&gt;=G59,F58-G59,"")</f>
        <v>5000</v>
      </c>
      <c r="G60" s="221" t="str">
        <f>IF(F58&lt;G59,G59-F58,"")</f>
        <v/>
      </c>
      <c r="H60" s="220">
        <f>IF(H58&gt;=I59,H58-I59,"")</f>
        <v>993.2</v>
      </c>
      <c r="I60" s="221" t="str">
        <f>IF(H58&lt;I59,I59-H58,"")</f>
        <v/>
      </c>
      <c r="J60" s="220">
        <f>IF(J58&gt;=K59,J58-K59,"")</f>
        <v>14367</v>
      </c>
      <c r="K60" s="221" t="str">
        <f>IF(J58&lt;K59,K59-J58,"")</f>
        <v/>
      </c>
      <c r="L60" s="220">
        <f>IF(L58&gt;=M59,L58-M59,"")</f>
        <v>1324</v>
      </c>
      <c r="M60" s="221" t="str">
        <f>IF(L58&lt;M59,M59-L58,"")</f>
        <v/>
      </c>
      <c r="N60" s="220">
        <f>IF(N58&gt;=O59,N58-O59,"")</f>
        <v>3132</v>
      </c>
      <c r="O60" s="221" t="str">
        <f>IF(N58&lt;O59,O59-N58,"")</f>
        <v/>
      </c>
      <c r="P60" s="220">
        <f>IF(P58&gt;=Q59,P58-Q59,"")</f>
        <v>4026.2</v>
      </c>
      <c r="Q60" s="221" t="str">
        <f>IF(P58&lt;Q59,Q59-P58,"")</f>
        <v/>
      </c>
      <c r="R60" s="220">
        <f>IF(R58&gt;=S59,R58-S59,"")</f>
        <v>2500</v>
      </c>
      <c r="S60" s="221" t="str">
        <f>IF(R58&lt;S59,S59-R58,"")</f>
        <v/>
      </c>
      <c r="T60" s="220">
        <f>IF(T58&gt;=U59,T58-U59,"")</f>
        <v>235</v>
      </c>
      <c r="U60" s="221" t="str">
        <f>IF(T58&lt;U59,U59-T58,"")</f>
        <v/>
      </c>
      <c r="V60" s="220">
        <f>IF(V58&gt;=W59,V58-W59,"")</f>
        <v>0</v>
      </c>
      <c r="W60" s="221" t="str">
        <f>IF(V58&lt;W59,W59-V58,"")</f>
        <v/>
      </c>
      <c r="X60" s="220">
        <f>IF(X58&gt;=Y59,X58-Y59,"")</f>
        <v>117666.08</v>
      </c>
      <c r="Y60" s="221" t="str">
        <f>IF(X58&lt;Y59,Y59-X58,"")</f>
        <v/>
      </c>
      <c r="Z60" s="220">
        <f>IF(Z58&gt;=AA59,Z58-AA59,"")</f>
        <v>5000</v>
      </c>
      <c r="AA60" s="221" t="str">
        <f>IF(Z58&lt;AA59,AA59-Z58,"")</f>
        <v/>
      </c>
      <c r="AB60" s="220" t="str">
        <f>IF(AB58&gt;=AC59,AB58-AC59,"")</f>
        <v/>
      </c>
      <c r="AC60" s="221">
        <f>IF(AB58&lt;AC59,AC59-AB58,"")</f>
        <v>25000</v>
      </c>
      <c r="AD60" s="220">
        <f>IF(AD58&gt;=AE59,AD58-AE59,"")</f>
        <v>820025.34</v>
      </c>
      <c r="AE60" s="221" t="str">
        <f>IF(AD58&lt;AE59,AE59-AD58,"")</f>
        <v/>
      </c>
      <c r="AF60" s="220" t="str">
        <f>IF(AF58&gt;=AG59,AF58-AG59,"")</f>
        <v/>
      </c>
      <c r="AG60" s="221">
        <f>IF(AF58&lt;AG59,AG59-AF58,"")</f>
        <v>23438.3</v>
      </c>
      <c r="AH60" s="220" t="str">
        <f>IF(AH58&gt;=AI59,AH58-AI59,"")</f>
        <v/>
      </c>
      <c r="AI60" s="221">
        <f>IF(AH58&lt;AI59,AI59-AH58,"")</f>
        <v>3203</v>
      </c>
      <c r="AJ60" s="220">
        <f>IF(AJ58&gt;=AK59,AJ58-AK59,"")</f>
        <v>950000</v>
      </c>
      <c r="AK60" s="221" t="str">
        <f>IF(AJ58&lt;AK59,AK59-AJ58,"")</f>
        <v/>
      </c>
      <c r="AL60" s="220">
        <f>IF(AL58&gt;=AM59,AL58-AM59,"")</f>
        <v>112480</v>
      </c>
      <c r="AM60" s="221" t="str">
        <f>IF(AL58&lt;AM59,AM59-AL58,"")</f>
        <v/>
      </c>
      <c r="AN60" s="220">
        <f>IF(AN58&gt;=AO59,AN58-AO59,"")</f>
        <v>20000</v>
      </c>
      <c r="AO60" s="221" t="str">
        <f>IF(AN58&lt;AO59,AO59-AN58,"")</f>
        <v/>
      </c>
      <c r="AP60" s="220" t="str">
        <f>IF(AP58&gt;=AQ59,AP58-AQ59,"")</f>
        <v/>
      </c>
      <c r="AQ60" s="221">
        <f>IF(AP58&lt;AQ59,AQ59-AP58,"")</f>
        <v>1082480</v>
      </c>
      <c r="AR60" s="220" t="str">
        <f>IF(AR58&gt;=AS59,AR58-AS59,"")</f>
        <v/>
      </c>
      <c r="AS60" s="221">
        <f>IF(AR58&lt;AS59,AS59-AR58,"")</f>
        <v>717018.69964090642</v>
      </c>
      <c r="AT60" s="220" t="str">
        <f>IF(AT58&gt;=AU59,AT58-AU59,"")</f>
        <v/>
      </c>
      <c r="AU60" s="221">
        <f>IF(AT58&lt;AU59,AU59-AT58,"")</f>
        <v>251104.87035909359</v>
      </c>
      <c r="AV60" s="220">
        <f>IF(AV58&gt;=AW59,AV58-AW59,"")</f>
        <v>9.0949470177292824E-13</v>
      </c>
      <c r="AW60" s="221" t="str">
        <f>IF(AV58&lt;AW59,AW59-AV58,"")</f>
        <v/>
      </c>
      <c r="AX60" s="220">
        <f>IF(AX58&gt;=AY59,AX58-AY59,"")</f>
        <v>29979.96</v>
      </c>
      <c r="AY60" s="221" t="str">
        <f>IF(AX58&lt;AY59,AY59-AX58,"")</f>
        <v/>
      </c>
      <c r="AZ60" s="203">
        <f>SUM(AZ58:AZ59)</f>
        <v>0</v>
      </c>
    </row>
    <row r="61" spans="1:53" s="202" customFormat="1">
      <c r="A61" s="235"/>
      <c r="B61" s="207" t="s">
        <v>172</v>
      </c>
      <c r="C61" s="207"/>
      <c r="D61" s="216"/>
      <c r="E61" s="217"/>
      <c r="F61" s="216"/>
      <c r="G61" s="217"/>
      <c r="H61" s="216"/>
      <c r="I61" s="217"/>
      <c r="J61" s="216"/>
      <c r="K61" s="217"/>
      <c r="L61" s="216"/>
      <c r="M61" s="217"/>
      <c r="N61" s="216"/>
      <c r="O61" s="217"/>
      <c r="P61" s="216"/>
      <c r="Q61" s="217"/>
      <c r="R61" s="216"/>
      <c r="S61" s="217"/>
      <c r="T61" s="216"/>
      <c r="U61" s="217"/>
      <c r="V61" s="216"/>
      <c r="W61" s="217"/>
      <c r="X61" s="216"/>
      <c r="Y61" s="217"/>
      <c r="Z61" s="216"/>
      <c r="AA61" s="217"/>
      <c r="AB61" s="216"/>
      <c r="AC61" s="217"/>
      <c r="AD61" s="216"/>
      <c r="AE61" s="217"/>
      <c r="AF61" s="216"/>
      <c r="AG61" s="217"/>
      <c r="AH61" s="216"/>
      <c r="AI61" s="217"/>
      <c r="AJ61" s="216"/>
      <c r="AK61" s="217"/>
      <c r="AL61" s="216"/>
      <c r="AM61" s="217"/>
      <c r="AN61" s="216"/>
      <c r="AO61" s="217"/>
      <c r="AP61" s="216"/>
      <c r="AQ61" s="217"/>
      <c r="AR61" s="216"/>
      <c r="AS61" s="246">
        <f>D127</f>
        <v>4097.2155362312978</v>
      </c>
      <c r="AT61" s="216"/>
      <c r="AU61" s="246">
        <f>D128</f>
        <v>-106699.3955362313</v>
      </c>
      <c r="AV61" s="216"/>
      <c r="AW61" s="217"/>
      <c r="AX61" s="216"/>
      <c r="AY61" s="217"/>
      <c r="AZ61" s="193">
        <f>+D61-E61+F61-G61+H61-I61+J61-K61+L61-M61+N61-O61+P61-Q61+R61-S61+T61-U61+V61-W61+X61-Y61+Z61-AA61+AB61-AC61+AD61-AE61+AF61-AG61+AH61-AI61+AJ61-AK61+AL61-AM61+AN61-AO61+AP61-AQ61+AR61-AS61+AT61-AU61+AV61-AW61+AX61-AY61</f>
        <v>102602.18000000001</v>
      </c>
      <c r="BA61" s="203"/>
    </row>
    <row r="62" spans="1:53" s="202" customFormat="1" ht="13.5" thickBot="1">
      <c r="A62" s="236"/>
      <c r="B62" s="275" t="s">
        <v>839</v>
      </c>
      <c r="C62" s="237"/>
      <c r="D62" s="238">
        <f>D60+D61</f>
        <v>15516.089999999989</v>
      </c>
      <c r="E62" s="239"/>
      <c r="F62" s="238"/>
      <c r="G62" s="239"/>
      <c r="H62" s="238"/>
      <c r="I62" s="239"/>
      <c r="J62" s="238"/>
      <c r="K62" s="239"/>
      <c r="L62" s="238"/>
      <c r="M62" s="239"/>
      <c r="N62" s="238"/>
      <c r="O62" s="239"/>
      <c r="P62" s="238"/>
      <c r="Q62" s="239"/>
      <c r="R62" s="238"/>
      <c r="S62" s="239"/>
      <c r="T62" s="238"/>
      <c r="U62" s="239"/>
      <c r="V62" s="238"/>
      <c r="W62" s="239"/>
      <c r="X62" s="238"/>
      <c r="Y62" s="239"/>
      <c r="Z62" s="238"/>
      <c r="AA62" s="239"/>
      <c r="AB62" s="238"/>
      <c r="AC62" s="239"/>
      <c r="AD62" s="238">
        <f>AD60+AD61</f>
        <v>820025.34</v>
      </c>
      <c r="AE62" s="239"/>
      <c r="AF62" s="238"/>
      <c r="AG62" s="239"/>
      <c r="AH62" s="238"/>
      <c r="AI62" s="239"/>
      <c r="AJ62" s="238">
        <f>AJ60+AJ61</f>
        <v>950000</v>
      </c>
      <c r="AK62" s="239"/>
      <c r="AL62" s="238">
        <f>AL60+AL61</f>
        <v>112480</v>
      </c>
      <c r="AM62" s="239"/>
      <c r="AN62" s="238">
        <f>AN60+AN61</f>
        <v>20000</v>
      </c>
      <c r="AO62" s="239"/>
      <c r="AP62" s="238"/>
      <c r="AQ62" s="239">
        <f>AQ60+AQ61</f>
        <v>1082480</v>
      </c>
      <c r="AR62" s="238"/>
      <c r="AS62" s="239">
        <f>AS60+AS61</f>
        <v>721115.91517713771</v>
      </c>
      <c r="AT62" s="238"/>
      <c r="AU62" s="239">
        <f>AU60+AU61</f>
        <v>144405.47482286231</v>
      </c>
      <c r="AV62" s="238"/>
      <c r="AW62" s="239" t="e">
        <f>AW60+AW61-AV61</f>
        <v>#VALUE!</v>
      </c>
      <c r="AX62" s="238">
        <f>AX60+AX61</f>
        <v>29979.96</v>
      </c>
      <c r="AY62" s="239"/>
      <c r="AZ62" s="193" t="e">
        <f>+D62-E62+F62-G62+H62-I62+J62-K62+L62-M62+N62-O62+P62-Q62+R62-S62+T62-U62+V62-W62+X62-Y62+Z62-AA62+AB62-AC62+AD62-AE62+AF62-AG62+AH62-AI62+AJ62-AK62+AL62-AM62+AN62-AO62+AP62-AQ62+AR62-AS62+AT62-AU62+AV62-AW62+AX62-AY62</f>
        <v>#VALUE!</v>
      </c>
    </row>
    <row r="63" spans="1:53">
      <c r="B63" s="158"/>
      <c r="E63" s="113"/>
      <c r="F63" s="159"/>
      <c r="AZ63" s="113"/>
    </row>
    <row r="64" spans="1:53">
      <c r="E64" s="43"/>
      <c r="F64" s="113"/>
    </row>
    <row r="65" spans="2:70">
      <c r="BR65" s="113"/>
    </row>
    <row r="66" spans="2:70" ht="24.75">
      <c r="B66" s="147" t="s">
        <v>836</v>
      </c>
      <c r="F66" s="113"/>
    </row>
    <row r="68" spans="2:70" ht="19.5">
      <c r="B68" s="148" t="s">
        <v>51</v>
      </c>
      <c r="C68" s="148"/>
      <c r="D68" s="339">
        <v>2014</v>
      </c>
      <c r="E68" s="339">
        <v>2013</v>
      </c>
      <c r="F68" s="338" t="s">
        <v>894</v>
      </c>
    </row>
    <row r="69" spans="2:70">
      <c r="B69" s="35"/>
      <c r="F69" s="331"/>
    </row>
    <row r="70" spans="2:70">
      <c r="B70" s="33" t="s">
        <v>52</v>
      </c>
      <c r="F70" s="331"/>
    </row>
    <row r="71" spans="2:70">
      <c r="B71" s="33" t="s">
        <v>53</v>
      </c>
      <c r="F71" s="331"/>
      <c r="H71" s="35"/>
      <c r="AF71" s="34"/>
      <c r="AG71" s="34"/>
    </row>
    <row r="72" spans="2:70">
      <c r="B72" s="276" t="s">
        <v>670</v>
      </c>
      <c r="C72" s="177"/>
      <c r="D72" s="155">
        <f>$D$58-$E$59</f>
        <v>15516.089999999989</v>
      </c>
      <c r="E72" s="324">
        <f>D8</f>
        <v>8702.1200000000026</v>
      </c>
      <c r="F72" s="332">
        <f>D72-E72</f>
        <v>6813.9699999999866</v>
      </c>
      <c r="G72" s="77"/>
      <c r="H72" s="64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5"/>
      <c r="AG72" s="75"/>
    </row>
    <row r="73" spans="2:70">
      <c r="B73" s="276" t="s">
        <v>703</v>
      </c>
      <c r="C73" s="177"/>
      <c r="D73" s="155">
        <f>$AD$58-$AE$59</f>
        <v>820025.34</v>
      </c>
      <c r="E73" s="324">
        <f>AD8</f>
        <v>972158.74</v>
      </c>
      <c r="F73" s="332">
        <f>D73-E73</f>
        <v>-152133.40000000002</v>
      </c>
      <c r="G73" s="77"/>
      <c r="H73" s="64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5"/>
      <c r="AG73" s="75"/>
    </row>
    <row r="74" spans="2:70">
      <c r="B74" s="276" t="s">
        <v>32</v>
      </c>
      <c r="C74" s="177" t="s">
        <v>707</v>
      </c>
      <c r="D74" s="155">
        <f>$AX$58-$AY$59</f>
        <v>29979.96</v>
      </c>
      <c r="E74" s="324">
        <f>AX8</f>
        <v>5575.71</v>
      </c>
      <c r="F74" s="332">
        <f>D74-E74</f>
        <v>24404.25</v>
      </c>
      <c r="G74" s="77"/>
      <c r="H74" s="64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5"/>
      <c r="AG74" s="75"/>
    </row>
    <row r="75" spans="2:70">
      <c r="B75" s="33" t="s">
        <v>60</v>
      </c>
      <c r="D75" s="281">
        <f>SUM(D72:D74)</f>
        <v>865521.3899999999</v>
      </c>
      <c r="E75" s="329">
        <f>SUM(E72:E74)</f>
        <v>986436.57</v>
      </c>
      <c r="F75" s="333">
        <f>D75-E75</f>
        <v>-120915.18000000005</v>
      </c>
      <c r="H75" s="64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5"/>
      <c r="AG75" s="75"/>
    </row>
    <row r="76" spans="2:70">
      <c r="B76" s="35"/>
      <c r="D76" s="77"/>
      <c r="E76" s="93"/>
      <c r="F76" s="334"/>
      <c r="H76" s="64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5"/>
      <c r="AG76" s="75"/>
    </row>
    <row r="77" spans="2:70">
      <c r="B77" s="33" t="s">
        <v>61</v>
      </c>
      <c r="C77" s="177" t="s">
        <v>781</v>
      </c>
      <c r="D77" s="77"/>
      <c r="E77" s="93"/>
      <c r="F77" s="334"/>
      <c r="H77" s="64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5"/>
      <c r="AG77" s="75"/>
    </row>
    <row r="78" spans="2:70">
      <c r="B78" s="35" t="s">
        <v>63</v>
      </c>
      <c r="C78" s="177"/>
      <c r="D78" s="155">
        <f>$AJ$58-$AK$59</f>
        <v>950000</v>
      </c>
      <c r="E78" s="324">
        <f>AJ8</f>
        <v>950000</v>
      </c>
      <c r="F78" s="332">
        <f>D78-E78</f>
        <v>0</v>
      </c>
      <c r="G78" s="77"/>
      <c r="H78" s="64"/>
    </row>
    <row r="79" spans="2:70">
      <c r="B79" s="36" t="s">
        <v>64</v>
      </c>
      <c r="C79" s="177"/>
      <c r="D79" s="155">
        <f>$AL$58-$AM$59</f>
        <v>112480</v>
      </c>
      <c r="E79" s="324">
        <f>AL8</f>
        <v>112480</v>
      </c>
      <c r="F79" s="332">
        <f>D79-E79</f>
        <v>0</v>
      </c>
      <c r="G79" s="77"/>
    </row>
    <row r="80" spans="2:70">
      <c r="B80" s="36" t="s">
        <v>339</v>
      </c>
      <c r="C80" s="177"/>
      <c r="D80" s="155">
        <f>$AN$58-$AO$59</f>
        <v>20000</v>
      </c>
      <c r="E80" s="324">
        <f>AN8</f>
        <v>5000</v>
      </c>
      <c r="F80" s="332">
        <f>D80-E80</f>
        <v>15000</v>
      </c>
      <c r="G80" s="77"/>
    </row>
    <row r="81" spans="2:33">
      <c r="B81" s="38" t="s">
        <v>66</v>
      </c>
      <c r="D81" s="281">
        <f>SUM(D78:D80)</f>
        <v>1082480</v>
      </c>
      <c r="E81" s="329">
        <f>SUM(E78:E80)</f>
        <v>1067480</v>
      </c>
      <c r="F81" s="333">
        <f>D81-E81</f>
        <v>15000</v>
      </c>
    </row>
    <row r="82" spans="2:33">
      <c r="B82" s="35"/>
      <c r="D82" s="77"/>
      <c r="E82" s="93"/>
      <c r="F82" s="334"/>
    </row>
    <row r="83" spans="2:33">
      <c r="B83" s="35"/>
      <c r="D83" s="77"/>
      <c r="E83" s="93"/>
      <c r="F83" s="334"/>
    </row>
    <row r="84" spans="2:33" ht="13.5" thickBot="1">
      <c r="B84" s="38" t="s">
        <v>67</v>
      </c>
      <c r="D84" s="156">
        <f>D75+D81</f>
        <v>1948001.39</v>
      </c>
      <c r="E84" s="330">
        <f>E75+E81</f>
        <v>2053916.5699999998</v>
      </c>
      <c r="F84" s="335">
        <f>D84-E84</f>
        <v>-105915.17999999993</v>
      </c>
      <c r="AF84" s="75"/>
      <c r="AG84" s="75"/>
    </row>
    <row r="85" spans="2:33" ht="13.5" thickTop="1">
      <c r="B85" s="35"/>
      <c r="D85" s="77"/>
      <c r="E85" s="93"/>
      <c r="F85" s="334"/>
      <c r="AF85" s="75"/>
      <c r="AG85" s="75"/>
    </row>
    <row r="86" spans="2:33">
      <c r="B86" s="35"/>
      <c r="D86" s="77"/>
      <c r="E86" s="93"/>
      <c r="F86" s="334"/>
      <c r="AF86" s="75"/>
      <c r="AG86" s="75"/>
    </row>
    <row r="87" spans="2:33">
      <c r="B87" s="33" t="s">
        <v>68</v>
      </c>
      <c r="D87" s="77"/>
      <c r="E87" s="93"/>
      <c r="F87" s="334"/>
      <c r="AF87" s="75"/>
      <c r="AG87" s="75"/>
    </row>
    <row r="88" spans="2:33">
      <c r="B88" s="35" t="s">
        <v>69</v>
      </c>
      <c r="C88" s="177" t="s">
        <v>792</v>
      </c>
      <c r="D88" s="155">
        <f>-$AV$58+$AW$59</f>
        <v>0</v>
      </c>
      <c r="E88" s="324">
        <f>AW8</f>
        <v>3312.9999999999991</v>
      </c>
      <c r="F88" s="332">
        <f>D88-E88</f>
        <v>-3312.9999999999991</v>
      </c>
      <c r="G88" s="77"/>
      <c r="AF88" s="75"/>
      <c r="AG88" s="75"/>
    </row>
    <row r="89" spans="2:33">
      <c r="B89" s="33" t="s">
        <v>70</v>
      </c>
      <c r="D89" s="281">
        <f>SUM(D88:D88)</f>
        <v>0</v>
      </c>
      <c r="E89" s="329">
        <f>SUM(E88:E88)</f>
        <v>3312.9999999999991</v>
      </c>
      <c r="F89" s="333">
        <f>D89-E89</f>
        <v>-3312.9999999999991</v>
      </c>
      <c r="H89" s="34"/>
    </row>
    <row r="90" spans="2:33">
      <c r="B90" s="35"/>
      <c r="D90" s="77"/>
      <c r="E90" s="93"/>
      <c r="F90" s="334"/>
      <c r="G90" s="152"/>
    </row>
    <row r="91" spans="2:33">
      <c r="B91" s="33" t="s">
        <v>71</v>
      </c>
      <c r="C91" s="177" t="s">
        <v>793</v>
      </c>
      <c r="D91" s="77"/>
      <c r="E91" s="93"/>
      <c r="F91" s="334"/>
    </row>
    <row r="92" spans="2:33">
      <c r="B92" s="35" t="s">
        <v>72</v>
      </c>
      <c r="C92" s="177"/>
      <c r="D92" s="155">
        <f>-$AP$58+$AQ$59</f>
        <v>1082480</v>
      </c>
      <c r="E92" s="324">
        <f>AQ8</f>
        <v>1067480</v>
      </c>
      <c r="F92" s="332">
        <f>D92-E92</f>
        <v>15000</v>
      </c>
      <c r="G92" s="77"/>
      <c r="H92" s="77"/>
    </row>
    <row r="93" spans="2:33">
      <c r="B93" s="276" t="s">
        <v>687</v>
      </c>
      <c r="C93" s="177"/>
      <c r="D93" s="155">
        <f>AS62</f>
        <v>721115.91517713771</v>
      </c>
      <c r="E93" s="324">
        <f>AS8</f>
        <v>717018.69964090642</v>
      </c>
      <c r="F93" s="332">
        <f>D93-E93</f>
        <v>4097.2155362312915</v>
      </c>
      <c r="G93" s="77"/>
    </row>
    <row r="94" spans="2:33">
      <c r="B94" s="276" t="s">
        <v>692</v>
      </c>
      <c r="C94" s="177"/>
      <c r="D94" s="155">
        <f>AU62</f>
        <v>144405.47482286231</v>
      </c>
      <c r="E94" s="324">
        <f>AU8</f>
        <v>266104.87035909359</v>
      </c>
      <c r="F94" s="332">
        <f>D94-E94</f>
        <v>-121699.39553623128</v>
      </c>
      <c r="G94" s="77"/>
    </row>
    <row r="95" spans="2:33">
      <c r="B95" s="38" t="s">
        <v>75</v>
      </c>
      <c r="D95" s="281">
        <f>SUM(D92:D94)</f>
        <v>1948001.39</v>
      </c>
      <c r="E95" s="281">
        <f>SUM(E92:E94)</f>
        <v>2050603.57</v>
      </c>
      <c r="F95" s="336">
        <f>D95-E95</f>
        <v>-102602.18000000017</v>
      </c>
    </row>
    <row r="96" spans="2:33">
      <c r="B96" s="35"/>
      <c r="D96" s="77"/>
      <c r="E96" s="77"/>
      <c r="F96" s="337"/>
    </row>
    <row r="97" spans="2:31">
      <c r="B97" s="35"/>
      <c r="D97" s="77"/>
      <c r="E97" s="77"/>
      <c r="F97" s="337"/>
    </row>
    <row r="98" spans="2:31" ht="13.5" thickBot="1">
      <c r="B98" s="33" t="s">
        <v>77</v>
      </c>
      <c r="D98" s="156">
        <f>D89+D95</f>
        <v>1948001.39</v>
      </c>
      <c r="E98" s="156">
        <f>E89+E95</f>
        <v>2053916.57</v>
      </c>
      <c r="F98" s="342">
        <f>D98-E98</f>
        <v>-105915.18000000017</v>
      </c>
    </row>
    <row r="99" spans="2:31" ht="13.5" thickTop="1">
      <c r="B99" s="35"/>
      <c r="D99" s="77"/>
      <c r="E99" s="77"/>
    </row>
    <row r="100" spans="2:31">
      <c r="D100" s="77"/>
      <c r="E100" s="77"/>
    </row>
    <row r="101" spans="2:31" ht="24.75">
      <c r="B101" s="147" t="s">
        <v>834</v>
      </c>
      <c r="D101" s="77"/>
      <c r="E101" s="77"/>
    </row>
    <row r="102" spans="2:31" ht="13.5" thickBot="1">
      <c r="D102" s="77"/>
      <c r="E102" s="77"/>
      <c r="F102" s="35"/>
      <c r="G102" s="73"/>
    </row>
    <row r="103" spans="2:31" ht="20.25" thickBot="1">
      <c r="B103" s="148" t="s">
        <v>313</v>
      </c>
      <c r="C103" s="148"/>
      <c r="D103" s="339">
        <v>2014</v>
      </c>
      <c r="E103" s="339">
        <v>2013</v>
      </c>
      <c r="F103" s="339" t="s">
        <v>755</v>
      </c>
      <c r="G103" s="339" t="s">
        <v>314</v>
      </c>
      <c r="H103" s="340" t="s">
        <v>315</v>
      </c>
      <c r="I103" s="341" t="s">
        <v>835</v>
      </c>
    </row>
    <row r="104" spans="2:31">
      <c r="B104" s="34" t="s">
        <v>153</v>
      </c>
      <c r="C104" s="177"/>
      <c r="D104" s="77"/>
      <c r="E104" s="77"/>
      <c r="F104" s="35"/>
      <c r="G104" s="35"/>
      <c r="I104" s="325"/>
      <c r="K104" t="s">
        <v>698</v>
      </c>
      <c r="L104" s="277" t="s">
        <v>773</v>
      </c>
      <c r="M104" s="277" t="s">
        <v>774</v>
      </c>
      <c r="N104" s="277" t="s">
        <v>795</v>
      </c>
    </row>
    <row r="105" spans="2:31">
      <c r="B105" t="s">
        <v>154</v>
      </c>
      <c r="C105" s="177" t="s">
        <v>378</v>
      </c>
      <c r="D105" s="155">
        <f>-$AB$58+$AC$59</f>
        <v>25000</v>
      </c>
      <c r="E105" s="155">
        <v>23400</v>
      </c>
      <c r="F105" s="155">
        <v>30000</v>
      </c>
      <c r="G105" s="155">
        <f>D105-F105</f>
        <v>-5000</v>
      </c>
      <c r="H105" s="151">
        <f>IF(F105=0,"---",G105/F105)</f>
        <v>-0.16666666666666666</v>
      </c>
      <c r="I105" s="326">
        <v>39000</v>
      </c>
      <c r="K105" s="155">
        <v>200</v>
      </c>
      <c r="L105" s="155">
        <f>D105/K105</f>
        <v>125</v>
      </c>
      <c r="M105" s="155">
        <f>F105/K105</f>
        <v>150</v>
      </c>
      <c r="N105" s="289">
        <v>2014</v>
      </c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</row>
    <row r="106" spans="2:31">
      <c r="B106" t="s">
        <v>618</v>
      </c>
      <c r="C106" s="177"/>
      <c r="D106" s="155">
        <f>-$AF$58+$AG$59</f>
        <v>23438.3</v>
      </c>
      <c r="E106" s="155">
        <v>26804.99</v>
      </c>
      <c r="F106" s="155">
        <v>27000</v>
      </c>
      <c r="G106" s="155">
        <f>D106-F106</f>
        <v>-3561.7000000000007</v>
      </c>
      <c r="H106" s="151">
        <f>IF(F106=0,"---",G106/F106)</f>
        <v>-0.13191481481481485</v>
      </c>
      <c r="I106" s="326">
        <v>21000</v>
      </c>
      <c r="J106" s="155"/>
      <c r="K106" s="155">
        <v>200</v>
      </c>
      <c r="L106" s="155">
        <f>E105/K106</f>
        <v>117</v>
      </c>
      <c r="M106" s="155">
        <v>110</v>
      </c>
      <c r="N106" s="289">
        <v>2013</v>
      </c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</row>
    <row r="107" spans="2:31">
      <c r="B107" s="79" t="s">
        <v>355</v>
      </c>
      <c r="C107" s="177" t="s">
        <v>379</v>
      </c>
      <c r="D107" s="155">
        <f>-$AH$58+$AI$59</f>
        <v>3203</v>
      </c>
      <c r="E107" s="324">
        <v>4448</v>
      </c>
      <c r="F107" s="155">
        <v>0</v>
      </c>
      <c r="G107" s="155">
        <f>D107-F107</f>
        <v>3203</v>
      </c>
      <c r="H107" s="151" t="str">
        <f>IF(F107=0,"---",G107/F107)</f>
        <v>---</v>
      </c>
      <c r="I107" s="326">
        <v>3000</v>
      </c>
      <c r="J107" s="155"/>
      <c r="K107" s="155">
        <v>300</v>
      </c>
      <c r="L107" s="155">
        <v>120</v>
      </c>
      <c r="M107" s="155">
        <v>120</v>
      </c>
      <c r="N107" s="289">
        <v>2015</v>
      </c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</row>
    <row r="108" spans="2:31" ht="16.5" thickBot="1">
      <c r="B108" s="154" t="s">
        <v>158</v>
      </c>
      <c r="C108" s="306"/>
      <c r="D108" s="156">
        <f>SUM(D105:D107)</f>
        <v>51641.3</v>
      </c>
      <c r="E108" s="330">
        <f>SUM(E105:E107)</f>
        <v>54652.990000000005</v>
      </c>
      <c r="F108" s="156">
        <f>SUM(F105:F107)</f>
        <v>57000</v>
      </c>
      <c r="G108" s="156">
        <f>SUM(G105:G107)</f>
        <v>-5358.7000000000007</v>
      </c>
      <c r="H108" s="153">
        <f>IF(F108=0,"---",G108/F108)</f>
        <v>-9.4012280701754394E-2</v>
      </c>
      <c r="I108" s="327">
        <f>SUM(I105:I107)</f>
        <v>63000</v>
      </c>
      <c r="J108" s="160"/>
      <c r="K108" s="160"/>
      <c r="L108" s="160"/>
      <c r="M108" s="160"/>
      <c r="N108" s="29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</row>
    <row r="109" spans="2:31" ht="13.5" thickTop="1">
      <c r="C109" s="177"/>
      <c r="D109" s="77"/>
      <c r="E109" s="93"/>
      <c r="F109" s="77"/>
      <c r="G109" s="77"/>
      <c r="I109" s="328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</row>
    <row r="110" spans="2:31">
      <c r="B110" s="34" t="s">
        <v>924</v>
      </c>
      <c r="C110" s="177"/>
      <c r="D110" s="77"/>
      <c r="E110" s="93"/>
      <c r="F110" s="77"/>
      <c r="G110" s="77"/>
      <c r="I110" s="328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</row>
    <row r="111" spans="2:31">
      <c r="B111" t="s">
        <v>485</v>
      </c>
      <c r="C111" s="177" t="s">
        <v>380</v>
      </c>
      <c r="D111" s="155">
        <f>$F$58-$G$59</f>
        <v>5000</v>
      </c>
      <c r="E111" s="324">
        <v>5000</v>
      </c>
      <c r="F111" s="155">
        <v>10000</v>
      </c>
      <c r="G111" s="155">
        <f>D111-F111</f>
        <v>-5000</v>
      </c>
      <c r="H111" s="151">
        <f t="shared" ref="H111:H122" si="1">IF(F111=0,"---",G111/F111)</f>
        <v>-0.5</v>
      </c>
      <c r="I111" s="326">
        <v>10000</v>
      </c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</row>
    <row r="112" spans="2:31">
      <c r="B112" t="s">
        <v>488</v>
      </c>
      <c r="C112" s="177" t="s">
        <v>428</v>
      </c>
      <c r="D112" s="155">
        <f>$H$58-$I$59</f>
        <v>993.2</v>
      </c>
      <c r="E112" s="324">
        <v>11293</v>
      </c>
      <c r="F112" s="155">
        <v>5000</v>
      </c>
      <c r="G112" s="155">
        <f t="shared" ref="G112:G120" si="2">D112-F112</f>
        <v>-4006.8</v>
      </c>
      <c r="H112" s="151">
        <f t="shared" si="1"/>
        <v>-0.80136000000000007</v>
      </c>
      <c r="I112" s="326">
        <v>5000</v>
      </c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</row>
    <row r="113" spans="2:31">
      <c r="B113" t="s">
        <v>163</v>
      </c>
      <c r="C113" s="177" t="s">
        <v>430</v>
      </c>
      <c r="D113" s="155">
        <f>$J$58-$K$59</f>
        <v>14367</v>
      </c>
      <c r="E113" s="324">
        <v>5985</v>
      </c>
      <c r="F113" s="155">
        <v>10000</v>
      </c>
      <c r="G113" s="155">
        <f t="shared" si="2"/>
        <v>4367</v>
      </c>
      <c r="H113" s="151">
        <f t="shared" si="1"/>
        <v>0.43669999999999998</v>
      </c>
      <c r="I113" s="326">
        <v>10000</v>
      </c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</row>
    <row r="114" spans="2:31">
      <c r="B114" s="277" t="s">
        <v>637</v>
      </c>
      <c r="C114" s="177" t="s">
        <v>486</v>
      </c>
      <c r="D114" s="155">
        <f>$Z$58-$AA$59</f>
        <v>5000</v>
      </c>
      <c r="E114" s="324">
        <v>341.6</v>
      </c>
      <c r="F114" s="155">
        <v>10000</v>
      </c>
      <c r="G114" s="155">
        <f>D114-F114</f>
        <v>-5000</v>
      </c>
      <c r="H114" s="151">
        <f>IF(F114=0,"---",G114/F114)</f>
        <v>-0.5</v>
      </c>
      <c r="I114" s="326">
        <v>10000</v>
      </c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</row>
    <row r="115" spans="2:31">
      <c r="B115" s="277" t="s">
        <v>684</v>
      </c>
      <c r="C115" s="177" t="s">
        <v>501</v>
      </c>
      <c r="D115" s="155">
        <f>$X$58-$Y$59</f>
        <v>117666.08</v>
      </c>
      <c r="E115" s="324">
        <v>4337</v>
      </c>
      <c r="F115" s="155">
        <v>125000</v>
      </c>
      <c r="G115" s="155">
        <f>D115-F115</f>
        <v>-7333.9199999999983</v>
      </c>
      <c r="H115" s="151">
        <f>IF(F115=0,"---",G115/F115)</f>
        <v>-5.8671359999999985E-2</v>
      </c>
      <c r="I115" s="326">
        <v>15000</v>
      </c>
      <c r="J115" s="155"/>
      <c r="K115" t="s">
        <v>694</v>
      </c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</row>
    <row r="116" spans="2:31">
      <c r="B116" t="s">
        <v>166</v>
      </c>
      <c r="C116" s="177" t="s">
        <v>502</v>
      </c>
      <c r="D116" s="155">
        <f>$P$58-$Q$59</f>
        <v>4026.2</v>
      </c>
      <c r="E116" s="324">
        <v>1338.5</v>
      </c>
      <c r="F116" s="155">
        <v>3000</v>
      </c>
      <c r="G116" s="155">
        <f t="shared" si="2"/>
        <v>1026.1999999999998</v>
      </c>
      <c r="H116" s="151">
        <f t="shared" si="1"/>
        <v>0.34206666666666663</v>
      </c>
      <c r="I116" s="326">
        <v>3000</v>
      </c>
      <c r="J116" s="155"/>
      <c r="K116" s="155">
        <f>M107*6</f>
        <v>720</v>
      </c>
      <c r="L116" s="155" t="s">
        <v>696</v>
      </c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</row>
    <row r="117" spans="2:31">
      <c r="B117" t="s">
        <v>170</v>
      </c>
      <c r="C117" s="177"/>
      <c r="D117" s="155">
        <f>$T$58-$U$59</f>
        <v>235</v>
      </c>
      <c r="E117" s="324">
        <v>235</v>
      </c>
      <c r="F117" s="155">
        <v>250</v>
      </c>
      <c r="G117" s="155">
        <f t="shared" si="2"/>
        <v>-15</v>
      </c>
      <c r="H117" s="151">
        <f t="shared" si="1"/>
        <v>-0.06</v>
      </c>
      <c r="I117" s="326">
        <v>600</v>
      </c>
      <c r="J117" s="155"/>
      <c r="K117" s="282">
        <v>500</v>
      </c>
      <c r="L117" s="282" t="s">
        <v>697</v>
      </c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</row>
    <row r="118" spans="2:31">
      <c r="B118" s="277" t="s">
        <v>694</v>
      </c>
      <c r="C118" s="177"/>
      <c r="D118" s="155">
        <f>$L$58-$M$59</f>
        <v>1324</v>
      </c>
      <c r="E118" s="324">
        <v>1118</v>
      </c>
      <c r="F118" s="155">
        <v>1500</v>
      </c>
      <c r="G118" s="155">
        <f>D118-F118</f>
        <v>-176</v>
      </c>
      <c r="H118" s="151">
        <f>IF(F118=0,"---",G118/F118)</f>
        <v>-0.11733333333333333</v>
      </c>
      <c r="I118" s="326">
        <v>1500</v>
      </c>
      <c r="J118" s="155"/>
      <c r="K118" s="155">
        <f>K116+K117</f>
        <v>1220</v>
      </c>
      <c r="L118" s="155" t="s">
        <v>699</v>
      </c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</row>
    <row r="119" spans="2:31">
      <c r="B119" t="s">
        <v>95</v>
      </c>
      <c r="C119" s="177"/>
      <c r="D119" s="155">
        <f>$N$58-$O$59</f>
        <v>3132</v>
      </c>
      <c r="E119" s="324">
        <v>2754</v>
      </c>
      <c r="F119" s="155">
        <v>2800</v>
      </c>
      <c r="G119" s="155">
        <f>D119-F119</f>
        <v>332</v>
      </c>
      <c r="H119" s="151">
        <f>IF(F119=0,"---",G119/F119)</f>
        <v>0.11857142857142858</v>
      </c>
      <c r="I119" s="326">
        <v>3000</v>
      </c>
      <c r="J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</row>
    <row r="120" spans="2:31">
      <c r="B120" t="s">
        <v>169</v>
      </c>
      <c r="C120" s="177"/>
      <c r="D120" s="155">
        <f>$R$58-$S$59</f>
        <v>2500</v>
      </c>
      <c r="E120" s="324">
        <v>2500</v>
      </c>
      <c r="F120" s="155">
        <v>2500</v>
      </c>
      <c r="G120" s="155">
        <f t="shared" si="2"/>
        <v>0</v>
      </c>
      <c r="H120" s="151">
        <f t="shared" si="1"/>
        <v>0</v>
      </c>
      <c r="I120" s="326">
        <v>2500</v>
      </c>
      <c r="J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</row>
    <row r="121" spans="2:31">
      <c r="B121" t="s">
        <v>427</v>
      </c>
      <c r="C121" s="177" t="s">
        <v>506</v>
      </c>
      <c r="D121" s="155">
        <f>$V$58-$W$59</f>
        <v>0</v>
      </c>
      <c r="E121" s="324">
        <v>0</v>
      </c>
      <c r="F121" s="155">
        <v>0</v>
      </c>
      <c r="G121" s="155">
        <f>D121-F121</f>
        <v>0</v>
      </c>
      <c r="H121" s="151" t="str">
        <f>IF(F121=0,"---",G121/F121)</f>
        <v>---</v>
      </c>
      <c r="I121" s="326"/>
      <c r="J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</row>
    <row r="122" spans="2:31" ht="16.5" thickBot="1">
      <c r="B122" s="154" t="s">
        <v>931</v>
      </c>
      <c r="C122" s="306"/>
      <c r="D122" s="156">
        <f>SUM(D111:D121)</f>
        <v>154243.48000000001</v>
      </c>
      <c r="E122" s="330">
        <f>SUM(E111:E121)</f>
        <v>34902.1</v>
      </c>
      <c r="F122" s="156">
        <f>SUM(F111:F121)</f>
        <v>170050</v>
      </c>
      <c r="G122" s="156">
        <f>SUM(G111:G121)</f>
        <v>-15806.519999999997</v>
      </c>
      <c r="H122" s="153">
        <f t="shared" si="1"/>
        <v>-9.2952190532196388E-2</v>
      </c>
      <c r="I122" s="327">
        <f>SUM(I111:I121)</f>
        <v>60600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2:31" ht="13.5" thickTop="1">
      <c r="C123" s="177"/>
      <c r="D123" s="77"/>
      <c r="E123" s="93"/>
      <c r="F123" s="77"/>
      <c r="G123" s="77"/>
      <c r="H123" s="77"/>
      <c r="I123" s="328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</row>
    <row r="124" spans="2:31" ht="16.5" thickBot="1">
      <c r="B124" s="154" t="s">
        <v>141</v>
      </c>
      <c r="C124" s="306"/>
      <c r="D124" s="156">
        <f>D108-D122</f>
        <v>-102602.18000000001</v>
      </c>
      <c r="E124" s="330">
        <f>E108-E122</f>
        <v>19750.890000000007</v>
      </c>
      <c r="F124" s="156">
        <f>F108-F122</f>
        <v>-113050</v>
      </c>
      <c r="G124" s="156">
        <f>G108-G122</f>
        <v>10447.819999999996</v>
      </c>
      <c r="H124" s="153">
        <f>IF(F124=0,"---",G124/F124)</f>
        <v>-9.2417691287041095E-2</v>
      </c>
      <c r="I124" s="327">
        <f>I108-I122</f>
        <v>2400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</row>
    <row r="125" spans="2:31" ht="13.5" thickTop="1">
      <c r="C125" s="177"/>
      <c r="D125" s="77"/>
      <c r="E125" s="93"/>
      <c r="F125" s="77"/>
      <c r="G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</row>
    <row r="126" spans="2:31">
      <c r="B126" s="34" t="s">
        <v>172</v>
      </c>
      <c r="C126" s="177" t="s">
        <v>644</v>
      </c>
      <c r="D126" s="77"/>
      <c r="E126" s="93"/>
      <c r="F126" s="77"/>
      <c r="G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</row>
    <row r="127" spans="2:31">
      <c r="B127" t="s">
        <v>691</v>
      </c>
      <c r="C127" s="177"/>
      <c r="D127" s="155">
        <f>D223</f>
        <v>4097.2155362312978</v>
      </c>
      <c r="E127" s="324">
        <v>3931.6996409063813</v>
      </c>
      <c r="F127" s="155"/>
      <c r="G127" s="155"/>
      <c r="H127" s="151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</row>
    <row r="128" spans="2:31">
      <c r="B128" t="s">
        <v>693</v>
      </c>
      <c r="C128" s="177"/>
      <c r="D128" s="155">
        <f>D124-D127</f>
        <v>-106699.3955362313</v>
      </c>
      <c r="E128" s="324">
        <v>15819.190359093625</v>
      </c>
      <c r="F128" s="155"/>
      <c r="G128" s="155"/>
      <c r="H128" s="151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</row>
    <row r="129" spans="2:31" ht="16.5" thickBot="1">
      <c r="B129" s="154" t="s">
        <v>175</v>
      </c>
      <c r="C129" s="306"/>
      <c r="D129" s="156">
        <f>SUM(D127:D128)</f>
        <v>-102602.18000000001</v>
      </c>
      <c r="E129" s="156">
        <f>SUM(E127:E128)</f>
        <v>19750.890000000007</v>
      </c>
      <c r="F129" s="156"/>
      <c r="G129" s="156"/>
      <c r="H129" s="153"/>
      <c r="I129" s="156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</row>
    <row r="130" spans="2:31" ht="13.5" thickTop="1"/>
    <row r="131" spans="2:31" ht="13.5" thickBot="1">
      <c r="F131" s="113"/>
    </row>
    <row r="132" spans="2:31">
      <c r="B132" s="297" t="s">
        <v>821</v>
      </c>
      <c r="C132" s="298"/>
      <c r="D132" s="299">
        <f>ROUND(D84-D98,0)</f>
        <v>0</v>
      </c>
      <c r="E132" s="304" t="str">
        <f>IF(D132=0,"OK","Feil")</f>
        <v>OK</v>
      </c>
      <c r="F132" s="113"/>
    </row>
    <row r="133" spans="2:31" ht="13.5" thickBot="1">
      <c r="B133" s="300" t="s">
        <v>822</v>
      </c>
      <c r="C133" s="28"/>
      <c r="D133" s="301">
        <f>ROUND(D95-E95-D129,0)</f>
        <v>0</v>
      </c>
      <c r="E133" s="305" t="str">
        <f>IF(D133=0,"OK","Feil")</f>
        <v>OK</v>
      </c>
      <c r="F133" s="113"/>
    </row>
    <row r="134" spans="2:31">
      <c r="F134" s="77"/>
    </row>
    <row r="135" spans="2:31">
      <c r="F135" s="77"/>
    </row>
    <row r="136" spans="2:31">
      <c r="F136" s="77"/>
    </row>
    <row r="137" spans="2:31" ht="24.75">
      <c r="B137" s="147" t="s">
        <v>833</v>
      </c>
      <c r="D137" s="77"/>
      <c r="F137" s="77"/>
    </row>
    <row r="138" spans="2:31">
      <c r="B138" s="34"/>
      <c r="D138" s="77"/>
      <c r="F138" s="77"/>
    </row>
    <row r="139" spans="2:31">
      <c r="B139" s="279" t="s">
        <v>794</v>
      </c>
      <c r="C139" s="277" t="s">
        <v>799</v>
      </c>
      <c r="D139" s="77"/>
      <c r="F139" s="77"/>
    </row>
    <row r="140" spans="2:31">
      <c r="B140" s="277" t="s">
        <v>905</v>
      </c>
      <c r="C140">
        <v>150</v>
      </c>
      <c r="D140" s="93">
        <f>C140*200</f>
        <v>30000</v>
      </c>
      <c r="F140" s="77"/>
    </row>
    <row r="141" spans="2:31">
      <c r="B141" s="277" t="s">
        <v>906</v>
      </c>
      <c r="C141">
        <v>125</v>
      </c>
      <c r="D141" s="93">
        <f>C141*200</f>
        <v>25000</v>
      </c>
      <c r="F141" s="77"/>
    </row>
    <row r="142" spans="2:31">
      <c r="B142" s="277"/>
      <c r="D142" s="77"/>
      <c r="F142" s="77"/>
    </row>
    <row r="143" spans="2:31">
      <c r="B143" s="344" t="s">
        <v>918</v>
      </c>
      <c r="C143" s="345">
        <v>130</v>
      </c>
      <c r="D143" s="346">
        <f>C143*300</f>
        <v>39000</v>
      </c>
      <c r="F143" s="77"/>
    </row>
    <row r="144" spans="2:31">
      <c r="B144" s="177"/>
      <c r="C144" s="177"/>
      <c r="D144" s="77"/>
      <c r="F144" s="77"/>
    </row>
    <row r="145" spans="2:6">
      <c r="D145" s="77"/>
      <c r="F145" s="77"/>
    </row>
    <row r="146" spans="2:6">
      <c r="B146" s="279" t="s">
        <v>796</v>
      </c>
      <c r="D146" s="77"/>
      <c r="F146" s="77"/>
    </row>
    <row r="147" spans="2:6" ht="13.5" thickBot="1">
      <c r="B147" s="287" t="s">
        <v>782</v>
      </c>
      <c r="C147" s="266"/>
      <c r="D147" s="175">
        <v>3203</v>
      </c>
      <c r="F147" s="77"/>
    </row>
    <row r="148" spans="2:6" ht="13.5" thickTop="1">
      <c r="D148" s="77"/>
      <c r="F148" s="77"/>
    </row>
    <row r="149" spans="2:6">
      <c r="D149" s="77"/>
      <c r="F149" s="77"/>
    </row>
    <row r="150" spans="2:6">
      <c r="B150" s="279" t="s">
        <v>797</v>
      </c>
      <c r="D150" s="77"/>
      <c r="F150" s="77"/>
    </row>
    <row r="151" spans="2:6">
      <c r="B151" s="277" t="s">
        <v>674</v>
      </c>
      <c r="D151" s="288">
        <v>5000</v>
      </c>
      <c r="F151" s="77"/>
    </row>
    <row r="152" spans="2:6" ht="13.5" thickBot="1">
      <c r="B152" s="199" t="s">
        <v>197</v>
      </c>
      <c r="C152" s="266"/>
      <c r="D152" s="175">
        <f>SUM(D151)</f>
        <v>5000</v>
      </c>
      <c r="F152" s="77"/>
    </row>
    <row r="153" spans="2:6" ht="13.5" thickTop="1">
      <c r="D153" s="77"/>
      <c r="F153" s="77"/>
    </row>
    <row r="154" spans="2:6">
      <c r="B154" s="344" t="s">
        <v>919</v>
      </c>
      <c r="C154" s="347"/>
      <c r="D154" s="346"/>
      <c r="F154" s="77"/>
    </row>
    <row r="155" spans="2:6">
      <c r="B155" s="348" t="s">
        <v>674</v>
      </c>
      <c r="C155" s="347"/>
      <c r="D155" s="346">
        <v>5000</v>
      </c>
      <c r="F155" s="77"/>
    </row>
    <row r="156" spans="2:6">
      <c r="B156" s="349" t="s">
        <v>798</v>
      </c>
      <c r="C156" s="350"/>
      <c r="D156" s="351">
        <v>5000</v>
      </c>
      <c r="F156" s="77"/>
    </row>
    <row r="157" spans="2:6">
      <c r="B157" s="348"/>
      <c r="C157" s="352" t="s">
        <v>197</v>
      </c>
      <c r="D157" s="353">
        <f>SUM(D155:D156)</f>
        <v>10000</v>
      </c>
      <c r="F157" s="77"/>
    </row>
    <row r="158" spans="2:6">
      <c r="B158" s="277"/>
      <c r="C158" s="34"/>
      <c r="D158" s="294"/>
      <c r="F158" s="77"/>
    </row>
    <row r="159" spans="2:6">
      <c r="D159" s="77"/>
      <c r="F159" s="77"/>
    </row>
    <row r="160" spans="2:6">
      <c r="B160" s="279" t="s">
        <v>800</v>
      </c>
      <c r="C160" s="82"/>
      <c r="D160" s="201"/>
      <c r="E160" s="65"/>
    </row>
    <row r="161" spans="2:6">
      <c r="B161" s="265" t="s">
        <v>628</v>
      </c>
      <c r="C161" s="82"/>
      <c r="D161" s="64">
        <v>993</v>
      </c>
      <c r="E161" s="64"/>
      <c r="F161" s="77"/>
    </row>
    <row r="162" spans="2:6">
      <c r="B162" s="265"/>
      <c r="C162" s="82"/>
      <c r="D162" s="64"/>
      <c r="E162" s="64"/>
      <c r="F162" s="77"/>
    </row>
    <row r="163" spans="2:6" ht="13.5" thickBot="1">
      <c r="B163" s="199" t="s">
        <v>197</v>
      </c>
      <c r="C163" s="200"/>
      <c r="D163" s="175">
        <f>SUM(D161:D162)</f>
        <v>993</v>
      </c>
      <c r="E163" s="64"/>
      <c r="F163" s="77"/>
    </row>
    <row r="164" spans="2:6" ht="13.5" thickTop="1">
      <c r="B164" s="34"/>
      <c r="C164" s="34"/>
      <c r="D164" s="77"/>
      <c r="E164" s="64"/>
      <c r="F164" s="77"/>
    </row>
    <row r="165" spans="2:6">
      <c r="B165" s="344" t="s">
        <v>919</v>
      </c>
      <c r="C165" s="352"/>
      <c r="D165" s="346"/>
      <c r="E165" s="64"/>
      <c r="F165" s="77"/>
    </row>
    <row r="166" spans="2:6">
      <c r="B166" s="348"/>
      <c r="C166" s="352"/>
      <c r="D166" s="346">
        <v>0</v>
      </c>
      <c r="F166" s="77"/>
    </row>
    <row r="167" spans="2:6">
      <c r="B167" s="349" t="s">
        <v>802</v>
      </c>
      <c r="C167" s="354"/>
      <c r="D167" s="351">
        <v>5000</v>
      </c>
      <c r="F167" s="77"/>
    </row>
    <row r="168" spans="2:6">
      <c r="B168" s="352"/>
      <c r="C168" s="352" t="s">
        <v>197</v>
      </c>
      <c r="D168" s="353">
        <f>SUM(D166:D167)</f>
        <v>5000</v>
      </c>
      <c r="F168" s="77"/>
    </row>
    <row r="169" spans="2:6">
      <c r="B169" s="34"/>
      <c r="C169" s="34"/>
      <c r="D169" s="294"/>
      <c r="F169" s="77"/>
    </row>
    <row r="170" spans="2:6">
      <c r="D170" s="77"/>
      <c r="F170" s="77"/>
    </row>
    <row r="171" spans="2:6">
      <c r="B171" s="279" t="s">
        <v>803</v>
      </c>
      <c r="D171" s="77"/>
      <c r="F171" s="77"/>
    </row>
    <row r="172" spans="2:6">
      <c r="B172" s="265" t="s">
        <v>630</v>
      </c>
      <c r="D172" s="77"/>
      <c r="F172" s="77"/>
    </row>
    <row r="173" spans="2:6">
      <c r="B173" s="278" t="s">
        <v>920</v>
      </c>
      <c r="C173" s="82"/>
      <c r="D173" s="64">
        <v>14367</v>
      </c>
      <c r="F173" s="77"/>
    </row>
    <row r="174" spans="2:6">
      <c r="B174" s="278"/>
      <c r="C174" s="82"/>
      <c r="D174" s="64"/>
    </row>
    <row r="175" spans="2:6">
      <c r="B175" s="277"/>
      <c r="C175" s="82"/>
      <c r="D175" s="64"/>
    </row>
    <row r="176" spans="2:6" ht="13.5" thickBot="1">
      <c r="B176" s="199" t="s">
        <v>197</v>
      </c>
      <c r="C176" s="200"/>
      <c r="D176" s="175">
        <f>SUM(D172:D175)</f>
        <v>14367</v>
      </c>
    </row>
    <row r="177" spans="2:31" ht="13.5" thickTop="1">
      <c r="B177" s="265"/>
      <c r="D177" s="77"/>
    </row>
    <row r="178" spans="2:31">
      <c r="B178" s="344" t="s">
        <v>919</v>
      </c>
      <c r="C178" s="347"/>
      <c r="D178" s="346"/>
    </row>
    <row r="179" spans="2:31">
      <c r="B179" s="348" t="s">
        <v>804</v>
      </c>
      <c r="C179" s="352" t="s">
        <v>197</v>
      </c>
      <c r="D179" s="353">
        <v>10000</v>
      </c>
    </row>
    <row r="180" spans="2:31">
      <c r="B180" s="265"/>
      <c r="D180" s="77"/>
    </row>
    <row r="181" spans="2:31">
      <c r="B181" s="265"/>
      <c r="D181" s="77"/>
    </row>
    <row r="182" spans="2:31">
      <c r="B182" s="279" t="s">
        <v>805</v>
      </c>
      <c r="D182" s="77"/>
    </row>
    <row r="183" spans="2:31">
      <c r="B183" s="277" t="s">
        <v>921</v>
      </c>
      <c r="D183" s="77">
        <v>5000</v>
      </c>
    </row>
    <row r="184" spans="2:31" ht="13.5" thickBot="1">
      <c r="B184" s="199" t="s">
        <v>197</v>
      </c>
      <c r="C184" s="200"/>
      <c r="D184" s="175">
        <f>SUM(D183:D183)</f>
        <v>5000</v>
      </c>
    </row>
    <row r="185" spans="2:31" ht="13.5" thickTop="1">
      <c r="D185" s="77"/>
    </row>
    <row r="186" spans="2:31">
      <c r="B186" s="344" t="s">
        <v>919</v>
      </c>
      <c r="C186" s="347"/>
      <c r="D186" s="346"/>
      <c r="F186" s="34"/>
      <c r="G186" s="82"/>
      <c r="H186" s="82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</row>
    <row r="187" spans="2:31">
      <c r="B187" s="348" t="s">
        <v>922</v>
      </c>
      <c r="C187" s="352" t="s">
        <v>197</v>
      </c>
      <c r="D187" s="353">
        <v>10000</v>
      </c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</row>
    <row r="188" spans="2:31">
      <c r="D188" s="77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</row>
    <row r="189" spans="2:31">
      <c r="D189" s="77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</row>
    <row r="190" spans="2:31">
      <c r="B190" s="279" t="s">
        <v>806</v>
      </c>
      <c r="D190" s="77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</row>
    <row r="191" spans="2:31">
      <c r="B191" s="277" t="s">
        <v>807</v>
      </c>
      <c r="D191" s="77">
        <v>113062.5</v>
      </c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</row>
    <row r="192" spans="2:31">
      <c r="B192" s="277" t="s">
        <v>923</v>
      </c>
      <c r="D192" s="77">
        <v>4603</v>
      </c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</row>
    <row r="193" spans="2:31" ht="13.5" thickBot="1">
      <c r="B193" s="199" t="s">
        <v>197</v>
      </c>
      <c r="C193" s="200"/>
      <c r="D193" s="175">
        <f>SUM(D191:D192)</f>
        <v>117665.5</v>
      </c>
    </row>
    <row r="194" spans="2:31" ht="13.5" thickTop="1"/>
    <row r="195" spans="2:31">
      <c r="B195" s="344" t="s">
        <v>919</v>
      </c>
      <c r="C195" s="347"/>
      <c r="D195" s="347"/>
      <c r="F195" s="34"/>
      <c r="G195" s="82"/>
      <c r="H195" s="82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</row>
    <row r="196" spans="2:31">
      <c r="B196" s="349" t="s">
        <v>926</v>
      </c>
      <c r="C196" s="350"/>
      <c r="D196" s="355">
        <v>15000</v>
      </c>
    </row>
    <row r="197" spans="2:31">
      <c r="B197" s="347"/>
      <c r="C197" s="352" t="s">
        <v>197</v>
      </c>
      <c r="D197" s="356">
        <f>SUM(D196:D196)</f>
        <v>15000</v>
      </c>
    </row>
    <row r="198" spans="2:31">
      <c r="C198" s="34"/>
      <c r="D198" s="296"/>
    </row>
    <row r="200" spans="2:31">
      <c r="B200" s="279" t="s">
        <v>809</v>
      </c>
      <c r="D200" s="77"/>
    </row>
    <row r="201" spans="2:31">
      <c r="B201" s="277" t="s">
        <v>679</v>
      </c>
      <c r="D201" s="77">
        <v>794</v>
      </c>
      <c r="E201" s="77"/>
    </row>
    <row r="202" spans="2:31">
      <c r="B202" s="277" t="s">
        <v>927</v>
      </c>
      <c r="D202" s="77">
        <v>1652</v>
      </c>
    </row>
    <row r="203" spans="2:31">
      <c r="B203" s="277" t="s">
        <v>879</v>
      </c>
      <c r="D203" s="77">
        <v>1580</v>
      </c>
    </row>
    <row r="204" spans="2:31" ht="13.5" thickBot="1">
      <c r="B204" s="199" t="s">
        <v>197</v>
      </c>
      <c r="C204" s="200"/>
      <c r="D204" s="175">
        <f>SUM(D201:D203)</f>
        <v>4026</v>
      </c>
    </row>
    <row r="205" spans="2:31" ht="13.5" thickTop="1">
      <c r="D205" s="77"/>
    </row>
    <row r="206" spans="2:31">
      <c r="B206" s="344" t="s">
        <v>919</v>
      </c>
      <c r="C206" s="347"/>
      <c r="D206" s="346"/>
      <c r="F206" s="34"/>
      <c r="G206" s="82"/>
      <c r="H206" s="82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spans="2:31">
      <c r="B207" s="348" t="s">
        <v>810</v>
      </c>
      <c r="C207" s="352" t="s">
        <v>197</v>
      </c>
      <c r="D207" s="353">
        <v>3000</v>
      </c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</row>
    <row r="208" spans="2:31">
      <c r="D208" s="77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</row>
    <row r="209" spans="2:31">
      <c r="D209" s="77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spans="2:31">
      <c r="B210" s="279" t="s">
        <v>811</v>
      </c>
      <c r="D210">
        <v>0</v>
      </c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2:31">
      <c r="B211" t="s">
        <v>639</v>
      </c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2:31">
      <c r="B212" t="s">
        <v>640</v>
      </c>
    </row>
    <row r="213" spans="2:31">
      <c r="B213" s="277" t="s">
        <v>682</v>
      </c>
    </row>
    <row r="216" spans="2:31">
      <c r="B216" s="279" t="s">
        <v>812</v>
      </c>
    </row>
    <row r="217" spans="2:31">
      <c r="B217" s="277" t="s">
        <v>830</v>
      </c>
      <c r="D217" s="311">
        <f>D124</f>
        <v>-102602.18000000001</v>
      </c>
    </row>
    <row r="218" spans="2:31">
      <c r="B218" s="279"/>
    </row>
    <row r="219" spans="2:31">
      <c r="B219" t="s">
        <v>893</v>
      </c>
      <c r="D219" s="309">
        <v>820025.34</v>
      </c>
    </row>
    <row r="220" spans="2:31">
      <c r="B220" t="s">
        <v>704</v>
      </c>
      <c r="C220" s="316">
        <f>IFERROR(D220/D219,0)</f>
        <v>0.87438602768166462</v>
      </c>
      <c r="D220" s="311">
        <f>AS8</f>
        <v>717018.69964090642</v>
      </c>
    </row>
    <row r="221" spans="2:31">
      <c r="B221" s="291" t="s">
        <v>841</v>
      </c>
      <c r="C221" s="30"/>
      <c r="D221" s="310">
        <v>23429.1</v>
      </c>
    </row>
    <row r="222" spans="2:31">
      <c r="B222" s="277" t="s">
        <v>829</v>
      </c>
      <c r="D222" s="312">
        <f>IFERROR(D221*C220,0)</f>
        <v>20486.077681156487</v>
      </c>
    </row>
    <row r="223" spans="2:31" ht="13.5" thickBot="1">
      <c r="B223" s="199" t="s">
        <v>831</v>
      </c>
      <c r="C223" s="199"/>
      <c r="D223" s="313">
        <f>IFERROR(D222*0.2,0)</f>
        <v>4097.2155362312978</v>
      </c>
    </row>
    <row r="224" spans="2:31" ht="13.5" thickTop="1">
      <c r="B224" s="33"/>
      <c r="C224" s="33"/>
      <c r="D224" s="65"/>
    </row>
    <row r="225" spans="2:31" ht="13.5" thickBot="1">
      <c r="B225" s="307" t="s">
        <v>832</v>
      </c>
      <c r="C225" s="307"/>
      <c r="D225" s="314">
        <f>IFERROR(D217-D223,"")</f>
        <v>-106699.3955362313</v>
      </c>
    </row>
    <row r="228" spans="2:31">
      <c r="B228" s="279" t="s">
        <v>813</v>
      </c>
      <c r="D228" s="77"/>
    </row>
    <row r="229" spans="2:31">
      <c r="B229" s="277" t="s">
        <v>930</v>
      </c>
      <c r="D229" s="77">
        <v>3776</v>
      </c>
    </row>
    <row r="230" spans="2:31">
      <c r="B230" s="277" t="s">
        <v>929</v>
      </c>
      <c r="D230" s="77">
        <v>25204</v>
      </c>
    </row>
    <row r="231" spans="2:31">
      <c r="B231" s="277" t="s">
        <v>928</v>
      </c>
      <c r="D231" s="77">
        <v>1000</v>
      </c>
    </row>
    <row r="232" spans="2:31" ht="13.5" thickBot="1">
      <c r="B232" s="199" t="s">
        <v>197</v>
      </c>
      <c r="C232" s="200"/>
      <c r="D232" s="175">
        <f>SUM(D229:D231)</f>
        <v>29980</v>
      </c>
    </row>
    <row r="233" spans="2:31" ht="13.5" thickTop="1"/>
    <row r="235" spans="2:31">
      <c r="B235" s="279" t="s">
        <v>816</v>
      </c>
    </row>
    <row r="236" spans="2:31">
      <c r="B236" s="79" t="s">
        <v>574</v>
      </c>
      <c r="D236" s="77">
        <v>950000</v>
      </c>
    </row>
    <row r="237" spans="2:31">
      <c r="B237" s="79" t="s">
        <v>575</v>
      </c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</row>
    <row r="238" spans="2:31">
      <c r="B238" s="79" t="s">
        <v>576</v>
      </c>
    </row>
    <row r="239" spans="2:31">
      <c r="B239" s="79" t="s">
        <v>577</v>
      </c>
    </row>
    <row r="241" spans="1:5">
      <c r="B241" s="79" t="s">
        <v>586</v>
      </c>
      <c r="D241" s="77">
        <v>112480</v>
      </c>
    </row>
    <row r="242" spans="1:5">
      <c r="B242" s="79" t="s">
        <v>587</v>
      </c>
      <c r="C242" s="254"/>
      <c r="D242" s="254"/>
    </row>
    <row r="243" spans="1:5">
      <c r="B243" s="79" t="s">
        <v>578</v>
      </c>
    </row>
    <row r="244" spans="1:5" s="254" customFormat="1">
      <c r="A244"/>
      <c r="B244"/>
      <c r="C244"/>
      <c r="D244"/>
      <c r="E244"/>
    </row>
    <row r="245" spans="1:5">
      <c r="A245" s="254"/>
      <c r="B245" s="79" t="s">
        <v>585</v>
      </c>
      <c r="D245" s="77">
        <f>5000+15000</f>
        <v>20000</v>
      </c>
      <c r="E245" s="254"/>
    </row>
    <row r="246" spans="1:5">
      <c r="B246" s="79" t="s">
        <v>579</v>
      </c>
    </row>
    <row r="247" spans="1:5">
      <c r="B247" s="79" t="s">
        <v>580</v>
      </c>
    </row>
    <row r="248" spans="1:5" ht="13.5" thickBot="1">
      <c r="B248" s="199" t="s">
        <v>197</v>
      </c>
      <c r="C248" s="255"/>
      <c r="D248" s="175">
        <f>SUM(D236:D247)</f>
        <v>1082480</v>
      </c>
    </row>
    <row r="249" spans="1:5" ht="13.5" thickTop="1">
      <c r="B249" s="256"/>
      <c r="D249" s="77"/>
    </row>
    <row r="251" spans="1:5">
      <c r="B251" s="279" t="s">
        <v>817</v>
      </c>
    </row>
    <row r="252" spans="1:5">
      <c r="B252" s="277"/>
      <c r="D252">
        <v>0</v>
      </c>
    </row>
    <row r="253" spans="1:5" ht="13.5" thickBot="1">
      <c r="B253" s="270" t="s">
        <v>197</v>
      </c>
      <c r="C253" s="266"/>
      <c r="D253" s="286">
        <f>SUM(D252:D252)</f>
        <v>0</v>
      </c>
    </row>
    <row r="254" spans="1:5" ht="13.5" thickTop="1"/>
    <row r="256" spans="1:5">
      <c r="B256" s="279" t="s">
        <v>820</v>
      </c>
      <c r="C256" s="302"/>
    </row>
    <row r="257" spans="2:4">
      <c r="B257" s="277" t="s">
        <v>688</v>
      </c>
      <c r="D257" s="315">
        <f>D92</f>
        <v>1082480</v>
      </c>
    </row>
    <row r="258" spans="2:4">
      <c r="B258" s="277"/>
      <c r="D258" s="77"/>
    </row>
    <row r="259" spans="2:4">
      <c r="B259" s="303" t="s">
        <v>824</v>
      </c>
      <c r="C259" s="311">
        <f>E93</f>
        <v>717018.69964090642</v>
      </c>
    </row>
    <row r="260" spans="2:4">
      <c r="B260" s="302" t="s">
        <v>825</v>
      </c>
      <c r="C260" s="311">
        <f>D127</f>
        <v>4097.2155362312978</v>
      </c>
      <c r="D260" s="315">
        <f>C259+C260</f>
        <v>721115.91517713771</v>
      </c>
    </row>
    <row r="261" spans="2:4">
      <c r="B261" s="277"/>
      <c r="D261" s="77"/>
    </row>
    <row r="262" spans="2:4">
      <c r="B262" s="277" t="s">
        <v>823</v>
      </c>
      <c r="C262" s="311">
        <f>E94</f>
        <v>266104.87035909359</v>
      </c>
    </row>
    <row r="263" spans="2:4">
      <c r="B263" s="302" t="s">
        <v>825</v>
      </c>
      <c r="C263" s="311">
        <f>D128</f>
        <v>-106699.3955362313</v>
      </c>
      <c r="D263" s="315">
        <f>C262+C263</f>
        <v>159405.47482286231</v>
      </c>
    </row>
    <row r="264" spans="2:4">
      <c r="B264" s="277"/>
      <c r="D264" s="77"/>
    </row>
    <row r="265" spans="2:4" ht="13.5" thickBot="1">
      <c r="B265" s="199" t="s">
        <v>197</v>
      </c>
      <c r="C265" s="200"/>
      <c r="D265" s="175">
        <f>SUM(D257:D264)</f>
        <v>1963001.39</v>
      </c>
    </row>
    <row r="266" spans="2:4" ht="13.5" thickTop="1"/>
    <row r="287" spans="2:4">
      <c r="D287" s="77"/>
    </row>
    <row r="288" spans="2:4">
      <c r="B288" s="177"/>
      <c r="D288" s="77"/>
    </row>
    <row r="289" spans="2:4">
      <c r="B289" s="34"/>
      <c r="D289" s="77"/>
    </row>
    <row r="290" spans="2:4">
      <c r="D290" s="77"/>
    </row>
    <row r="291" spans="2:4">
      <c r="D291" s="77"/>
    </row>
  </sheetData>
  <mergeCells count="49">
    <mergeCell ref="A1:C1"/>
    <mergeCell ref="D5:E5"/>
    <mergeCell ref="F5:G5"/>
    <mergeCell ref="H5:I5"/>
    <mergeCell ref="J5:K5"/>
    <mergeCell ref="D6:E6"/>
    <mergeCell ref="F6:G6"/>
    <mergeCell ref="H6:I6"/>
    <mergeCell ref="V6:W6"/>
    <mergeCell ref="AV5:AW5"/>
    <mergeCell ref="AV6:AW6"/>
    <mergeCell ref="J6:K6"/>
    <mergeCell ref="AN5:AO5"/>
    <mergeCell ref="AP5:AQ5"/>
    <mergeCell ref="AR5:AS5"/>
    <mergeCell ref="AT5:AU5"/>
    <mergeCell ref="AH5:AI5"/>
    <mergeCell ref="AJ5:AK5"/>
    <mergeCell ref="AL5:AM5"/>
    <mergeCell ref="V5:W5"/>
    <mergeCell ref="X5:Y5"/>
    <mergeCell ref="AN6:AO6"/>
    <mergeCell ref="X6:Y6"/>
    <mergeCell ref="Z6:AA6"/>
    <mergeCell ref="AB6:AC6"/>
    <mergeCell ref="AD6:AE6"/>
    <mergeCell ref="AF6:AG6"/>
    <mergeCell ref="AH6:AI6"/>
    <mergeCell ref="AJ6:AK6"/>
    <mergeCell ref="AL6:AM6"/>
    <mergeCell ref="AF5:AG5"/>
    <mergeCell ref="L6:M6"/>
    <mergeCell ref="N6:O6"/>
    <mergeCell ref="P6:Q6"/>
    <mergeCell ref="R6:S6"/>
    <mergeCell ref="T6:U6"/>
    <mergeCell ref="Z5:AA5"/>
    <mergeCell ref="AB5:AC5"/>
    <mergeCell ref="AD5:AE5"/>
    <mergeCell ref="T5:U5"/>
    <mergeCell ref="L5:M5"/>
    <mergeCell ref="N5:O5"/>
    <mergeCell ref="P5:Q5"/>
    <mergeCell ref="R5:S5"/>
    <mergeCell ref="AX6:AY6"/>
    <mergeCell ref="AP6:AQ6"/>
    <mergeCell ref="AR6:AS6"/>
    <mergeCell ref="AT6:AU6"/>
    <mergeCell ref="AX5:AY5"/>
  </mergeCells>
  <conditionalFormatting sqref="E132:E133">
    <cfRule type="cellIs" dxfId="3" priority="1" operator="equal">
      <formula>"Feil"</formula>
    </cfRule>
    <cfRule type="cellIs" dxfId="2" priority="2" operator="equal">
      <formula>"OK"</formula>
    </cfRule>
  </conditionalFormatting>
  <pageMargins left="0.78740157499999996" right="0.78740157499999996" top="1" bottom="1" header="0.5" footer="0.5"/>
  <pageSetup paperSize="9" orientation="portrait"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zoomScale="90" zoomScaleNormal="90" zoomScalePageLayoutView="90" workbookViewId="0">
      <pane xSplit="3" ySplit="6" topLeftCell="BC10" activePane="bottomRight" state="frozen"/>
      <selection pane="topRight" activeCell="D1" sqref="D1"/>
      <selection pane="bottomLeft" activeCell="A7" sqref="A7"/>
      <selection pane="bottomRight" activeCell="A47" sqref="A47:XFD47"/>
    </sheetView>
  </sheetViews>
  <sheetFormatPr baseColWidth="10" defaultColWidth="11.42578125" defaultRowHeight="12.75"/>
  <cols>
    <col min="1" max="1" width="10.140625" bestFit="1" customWidth="1"/>
    <col min="2" max="2" width="38" customWidth="1"/>
    <col min="3" max="3" width="7.85546875" customWidth="1"/>
    <col min="4" max="5" width="12.7109375" customWidth="1"/>
    <col min="6" max="6" width="16.7109375" bestFit="1" customWidth="1"/>
    <col min="7" max="8" width="12.7109375" customWidth="1"/>
    <col min="9" max="9" width="16.140625" customWidth="1"/>
    <col min="10" max="71" width="12.7109375" customWidth="1"/>
  </cols>
  <sheetData>
    <row r="1" spans="1:256" s="37" customFormat="1" ht="21" thickBot="1">
      <c r="A1" s="572" t="s">
        <v>750</v>
      </c>
      <c r="B1" s="573"/>
      <c r="C1" s="574"/>
    </row>
    <row r="2" spans="1:256" s="37" customFormat="1">
      <c r="A2" s="240" t="s">
        <v>510</v>
      </c>
      <c r="B2" s="209"/>
      <c r="C2" s="209"/>
    </row>
    <row r="3" spans="1:256" s="37" customFormat="1">
      <c r="A3" s="241" t="s">
        <v>153</v>
      </c>
      <c r="B3" s="210"/>
      <c r="C3" s="210"/>
    </row>
    <row r="4" spans="1:256" s="37" customFormat="1" ht="13.5" thickBot="1">
      <c r="A4" s="242" t="s">
        <v>159</v>
      </c>
      <c r="B4" s="210"/>
      <c r="C4" s="210"/>
      <c r="H4" s="37">
        <v>6100</v>
      </c>
      <c r="L4" s="37">
        <v>6200</v>
      </c>
      <c r="N4" s="37">
        <v>6300</v>
      </c>
      <c r="R4" s="37">
        <v>6400</v>
      </c>
      <c r="T4" s="37">
        <v>6500</v>
      </c>
      <c r="V4" s="37">
        <v>6600</v>
      </c>
      <c r="X4" s="37">
        <v>6700</v>
      </c>
      <c r="AB4" s="37">
        <v>6800</v>
      </c>
      <c r="AD4" s="37">
        <v>6900</v>
      </c>
    </row>
    <row r="5" spans="1:256" s="208" customFormat="1">
      <c r="A5" s="228" t="s">
        <v>20</v>
      </c>
      <c r="B5" s="229" t="s">
        <v>0</v>
      </c>
      <c r="C5" s="230" t="s">
        <v>1</v>
      </c>
      <c r="D5" s="564" t="s">
        <v>672</v>
      </c>
      <c r="E5" s="564"/>
      <c r="F5" s="564" t="s">
        <v>650</v>
      </c>
      <c r="G5" s="564"/>
      <c r="H5" s="566" t="s">
        <v>328</v>
      </c>
      <c r="I5" s="566"/>
      <c r="J5" s="566" t="s">
        <v>672</v>
      </c>
      <c r="K5" s="566"/>
      <c r="L5" s="566" t="s">
        <v>477</v>
      </c>
      <c r="M5" s="566"/>
      <c r="N5" s="566" t="s">
        <v>163</v>
      </c>
      <c r="O5" s="566"/>
      <c r="P5" s="566" t="s">
        <v>759</v>
      </c>
      <c r="Q5" s="566"/>
      <c r="R5" s="566" t="s">
        <v>95</v>
      </c>
      <c r="S5" s="566"/>
      <c r="T5" s="566" t="s">
        <v>336</v>
      </c>
      <c r="U5" s="566"/>
      <c r="V5" s="567">
        <v>39585</v>
      </c>
      <c r="W5" s="566"/>
      <c r="X5" s="566" t="s">
        <v>338</v>
      </c>
      <c r="Y5" s="566"/>
      <c r="Z5" s="566" t="s">
        <v>468</v>
      </c>
      <c r="AA5" s="566"/>
      <c r="AB5" s="566" t="s">
        <v>684</v>
      </c>
      <c r="AC5" s="566"/>
      <c r="AD5" s="566" t="s">
        <v>761</v>
      </c>
      <c r="AE5" s="566"/>
      <c r="AF5" s="568" t="s">
        <v>6</v>
      </c>
      <c r="AG5" s="568"/>
      <c r="AH5" s="564" t="s">
        <v>607</v>
      </c>
      <c r="AI5" s="564"/>
      <c r="AJ5" s="568" t="s">
        <v>331</v>
      </c>
      <c r="AK5" s="568"/>
      <c r="AL5" s="568" t="s">
        <v>672</v>
      </c>
      <c r="AM5" s="568"/>
      <c r="AN5" s="568" t="s">
        <v>355</v>
      </c>
      <c r="AO5" s="568"/>
      <c r="AP5" s="564" t="s">
        <v>9</v>
      </c>
      <c r="AQ5" s="564"/>
      <c r="AR5" s="564" t="s">
        <v>468</v>
      </c>
      <c r="AS5" s="564"/>
      <c r="AT5" s="564" t="s">
        <v>520</v>
      </c>
      <c r="AU5" s="564"/>
      <c r="AV5" s="564" t="s">
        <v>518</v>
      </c>
      <c r="AW5" s="564"/>
      <c r="AX5" s="564" t="s">
        <v>516</v>
      </c>
      <c r="AY5" s="564"/>
      <c r="AZ5" s="564" t="s">
        <v>514</v>
      </c>
      <c r="BA5" s="564"/>
      <c r="BB5" s="564" t="s">
        <v>687</v>
      </c>
      <c r="BC5" s="564"/>
      <c r="BD5" s="564" t="s">
        <v>692</v>
      </c>
      <c r="BE5" s="564"/>
      <c r="BF5" s="565" t="s">
        <v>671</v>
      </c>
      <c r="BG5" s="576"/>
      <c r="BH5" s="564" t="s">
        <v>282</v>
      </c>
      <c r="BI5" s="564"/>
      <c r="BJ5" s="564" t="s">
        <v>282</v>
      </c>
      <c r="BK5" s="564"/>
      <c r="BL5" s="564" t="s">
        <v>423</v>
      </c>
      <c r="BM5" s="564"/>
      <c r="BN5" s="564" t="s">
        <v>30</v>
      </c>
      <c r="BO5" s="564"/>
      <c r="BP5" s="564" t="s">
        <v>32</v>
      </c>
      <c r="BQ5" s="564"/>
    </row>
    <row r="6" spans="1:256" s="208" customFormat="1">
      <c r="A6" s="231"/>
      <c r="B6" s="252"/>
      <c r="C6" s="227" t="s">
        <v>16</v>
      </c>
      <c r="D6" s="559"/>
      <c r="E6" s="559"/>
      <c r="F6" s="559" t="s">
        <v>249</v>
      </c>
      <c r="G6" s="559"/>
      <c r="H6" s="563" t="s">
        <v>329</v>
      </c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 t="s">
        <v>337</v>
      </c>
      <c r="U6" s="563"/>
      <c r="V6" s="563"/>
      <c r="W6" s="563"/>
      <c r="X6" s="563"/>
      <c r="Y6" s="563"/>
      <c r="Z6" s="563" t="s">
        <v>685</v>
      </c>
      <c r="AA6" s="563"/>
      <c r="AB6" s="563"/>
      <c r="AC6" s="563"/>
      <c r="AD6" s="563" t="s">
        <v>686</v>
      </c>
      <c r="AE6" s="563"/>
      <c r="AF6" s="562"/>
      <c r="AG6" s="562"/>
      <c r="AH6" s="559" t="s">
        <v>608</v>
      </c>
      <c r="AI6" s="559"/>
      <c r="AJ6" s="562" t="s">
        <v>650</v>
      </c>
      <c r="AK6" s="562"/>
      <c r="AL6" s="562"/>
      <c r="AM6" s="562"/>
      <c r="AN6" s="562"/>
      <c r="AO6" s="562"/>
      <c r="AP6" s="559" t="s">
        <v>521</v>
      </c>
      <c r="AQ6" s="559"/>
      <c r="AR6" s="559" t="s">
        <v>470</v>
      </c>
      <c r="AS6" s="559"/>
      <c r="AT6" s="559" t="s">
        <v>519</v>
      </c>
      <c r="AU6" s="559"/>
      <c r="AV6" s="559" t="s">
        <v>519</v>
      </c>
      <c r="AW6" s="559"/>
      <c r="AX6" s="559" t="s">
        <v>517</v>
      </c>
      <c r="AY6" s="559"/>
      <c r="AZ6" s="559" t="s">
        <v>515</v>
      </c>
      <c r="BA6" s="559"/>
      <c r="BB6" s="559" t="s">
        <v>791</v>
      </c>
      <c r="BC6" s="559"/>
      <c r="BD6" s="559" t="s">
        <v>790</v>
      </c>
      <c r="BE6" s="559"/>
      <c r="BF6" s="560"/>
      <c r="BG6" s="575"/>
      <c r="BH6" s="559" t="s">
        <v>284</v>
      </c>
      <c r="BI6" s="559"/>
      <c r="BJ6" s="559" t="s">
        <v>283</v>
      </c>
      <c r="BK6" s="559"/>
      <c r="BL6" s="559" t="s">
        <v>424</v>
      </c>
      <c r="BM6" s="559"/>
      <c r="BN6" s="559"/>
      <c r="BO6" s="559"/>
      <c r="BP6" s="559"/>
      <c r="BQ6" s="559"/>
    </row>
    <row r="7" spans="1:256" s="226" customFormat="1">
      <c r="A7" s="232"/>
      <c r="B7" s="222"/>
      <c r="C7" s="223"/>
      <c r="D7" s="224" t="s">
        <v>28</v>
      </c>
      <c r="E7" s="225" t="s">
        <v>29</v>
      </c>
      <c r="F7" s="224" t="s">
        <v>28</v>
      </c>
      <c r="G7" s="225" t="s">
        <v>29</v>
      </c>
      <c r="H7" s="224" t="s">
        <v>28</v>
      </c>
      <c r="I7" s="225" t="s">
        <v>29</v>
      </c>
      <c r="J7" s="224" t="s">
        <v>28</v>
      </c>
      <c r="K7" s="225" t="s">
        <v>29</v>
      </c>
      <c r="L7" s="224" t="s">
        <v>28</v>
      </c>
      <c r="M7" s="225" t="s">
        <v>29</v>
      </c>
      <c r="N7" s="224" t="s">
        <v>28</v>
      </c>
      <c r="O7" s="225" t="s">
        <v>29</v>
      </c>
      <c r="P7" s="224" t="s">
        <v>28</v>
      </c>
      <c r="Q7" s="225" t="s">
        <v>29</v>
      </c>
      <c r="R7" s="224" t="s">
        <v>28</v>
      </c>
      <c r="S7" s="225" t="s">
        <v>29</v>
      </c>
      <c r="T7" s="224" t="s">
        <v>28</v>
      </c>
      <c r="U7" s="225" t="s">
        <v>29</v>
      </c>
      <c r="V7" s="224" t="s">
        <v>28</v>
      </c>
      <c r="W7" s="225" t="s">
        <v>29</v>
      </c>
      <c r="X7" s="224" t="s">
        <v>28</v>
      </c>
      <c r="Y7" s="225" t="s">
        <v>29</v>
      </c>
      <c r="Z7" s="224" t="s">
        <v>28</v>
      </c>
      <c r="AA7" s="225" t="s">
        <v>29</v>
      </c>
      <c r="AB7" s="224" t="s">
        <v>28</v>
      </c>
      <c r="AC7" s="225" t="s">
        <v>29</v>
      </c>
      <c r="AD7" s="224" t="s">
        <v>28</v>
      </c>
      <c r="AE7" s="225" t="s">
        <v>29</v>
      </c>
      <c r="AF7" s="224" t="s">
        <v>28</v>
      </c>
      <c r="AG7" s="225" t="s">
        <v>29</v>
      </c>
      <c r="AH7" s="224" t="s">
        <v>28</v>
      </c>
      <c r="AI7" s="225" t="s">
        <v>29</v>
      </c>
      <c r="AJ7" s="224" t="s">
        <v>28</v>
      </c>
      <c r="AK7" s="225" t="s">
        <v>29</v>
      </c>
      <c r="AL7" s="224" t="s">
        <v>28</v>
      </c>
      <c r="AM7" s="225" t="s">
        <v>29</v>
      </c>
      <c r="AN7" s="224" t="s">
        <v>28</v>
      </c>
      <c r="AO7" s="225" t="s">
        <v>29</v>
      </c>
      <c r="AP7" s="224" t="s">
        <v>28</v>
      </c>
      <c r="AQ7" s="225" t="s">
        <v>29</v>
      </c>
      <c r="AR7" s="224" t="s">
        <v>28</v>
      </c>
      <c r="AS7" s="225" t="s">
        <v>29</v>
      </c>
      <c r="AT7" s="224" t="s">
        <v>28</v>
      </c>
      <c r="AU7" s="225" t="s">
        <v>29</v>
      </c>
      <c r="AV7" s="224" t="s">
        <v>28</v>
      </c>
      <c r="AW7" s="225" t="s">
        <v>29</v>
      </c>
      <c r="AX7" s="224" t="s">
        <v>28</v>
      </c>
      <c r="AY7" s="225" t="s">
        <v>29</v>
      </c>
      <c r="AZ7" s="224" t="s">
        <v>28</v>
      </c>
      <c r="BA7" s="225" t="s">
        <v>29</v>
      </c>
      <c r="BB7" s="224" t="s">
        <v>28</v>
      </c>
      <c r="BC7" s="225" t="s">
        <v>29</v>
      </c>
      <c r="BD7" s="224" t="s">
        <v>28</v>
      </c>
      <c r="BE7" s="225" t="s">
        <v>29</v>
      </c>
      <c r="BF7" s="224" t="s">
        <v>28</v>
      </c>
      <c r="BG7" s="225" t="s">
        <v>29</v>
      </c>
      <c r="BH7" s="224" t="s">
        <v>28</v>
      </c>
      <c r="BI7" s="225" t="s">
        <v>29</v>
      </c>
      <c r="BJ7" s="224" t="s">
        <v>28</v>
      </c>
      <c r="BK7" s="225" t="s">
        <v>29</v>
      </c>
      <c r="BL7" s="224" t="s">
        <v>28</v>
      </c>
      <c r="BM7" s="225" t="s">
        <v>29</v>
      </c>
      <c r="BN7" s="224" t="s">
        <v>28</v>
      </c>
      <c r="BO7" s="225" t="s">
        <v>29</v>
      </c>
      <c r="BP7" s="224" t="s">
        <v>28</v>
      </c>
      <c r="BQ7" s="225" t="s">
        <v>29</v>
      </c>
    </row>
    <row r="8" spans="1:256" s="34" customFormat="1">
      <c r="A8" s="247">
        <v>41275</v>
      </c>
      <c r="B8" s="248" t="s">
        <v>751</v>
      </c>
      <c r="C8" s="249"/>
      <c r="D8" s="250"/>
      <c r="E8" s="251"/>
      <c r="F8" s="250">
        <v>5048.8500000000004</v>
      </c>
      <c r="G8" s="251"/>
      <c r="H8" s="250"/>
      <c r="I8" s="251"/>
      <c r="J8" s="250"/>
      <c r="K8" s="251"/>
      <c r="L8" s="250"/>
      <c r="M8" s="251"/>
      <c r="N8" s="250"/>
      <c r="O8" s="251"/>
      <c r="P8" s="250"/>
      <c r="Q8" s="251"/>
      <c r="R8" s="250"/>
      <c r="S8" s="251"/>
      <c r="T8" s="250"/>
      <c r="U8" s="251"/>
      <c r="V8" s="250"/>
      <c r="W8" s="251"/>
      <c r="X8" s="250"/>
      <c r="Y8" s="251"/>
      <c r="Z8" s="250"/>
      <c r="AA8" s="251"/>
      <c r="AB8" s="250"/>
      <c r="AC8" s="251"/>
      <c r="AD8" s="250"/>
      <c r="AE8" s="251"/>
      <c r="AF8" s="250"/>
      <c r="AG8" s="251"/>
      <c r="AH8" s="250">
        <v>958858.11</v>
      </c>
      <c r="AI8" s="251"/>
      <c r="AJ8" s="250"/>
      <c r="AK8" s="251"/>
      <c r="AL8" s="250"/>
      <c r="AM8" s="251"/>
      <c r="AN8" s="250"/>
      <c r="AO8" s="251"/>
      <c r="AP8" s="250"/>
      <c r="AQ8" s="251"/>
      <c r="AR8" s="250">
        <v>0</v>
      </c>
      <c r="AS8" s="251"/>
      <c r="AT8" s="250">
        <v>950000</v>
      </c>
      <c r="AU8" s="251"/>
      <c r="AV8" s="250">
        <v>112480</v>
      </c>
      <c r="AW8" s="251"/>
      <c r="AX8" s="250">
        <v>5000</v>
      </c>
      <c r="AY8" s="251"/>
      <c r="AZ8" s="250"/>
      <c r="BA8" s="251">
        <v>1067480</v>
      </c>
      <c r="BB8" s="250"/>
      <c r="BC8" s="251">
        <v>713087</v>
      </c>
      <c r="BD8" s="250"/>
      <c r="BE8" s="251">
        <v>250285.68</v>
      </c>
      <c r="BF8" s="250">
        <v>0</v>
      </c>
      <c r="BG8" s="251"/>
      <c r="BH8" s="250">
        <v>0</v>
      </c>
      <c r="BI8" s="251"/>
      <c r="BJ8" s="250">
        <v>0</v>
      </c>
      <c r="BK8" s="251"/>
      <c r="BL8" s="250">
        <v>0</v>
      </c>
      <c r="BM8" s="251"/>
      <c r="BN8" s="250"/>
      <c r="BO8" s="251">
        <v>534.27999999999975</v>
      </c>
      <c r="BP8" s="250">
        <v>0</v>
      </c>
      <c r="BQ8" s="251"/>
      <c r="BR8" s="243">
        <f t="shared" ref="BR8:BR57" si="0">D8-E8+F8-G8+H8-I8+J8-K8+L8-M8+N8-O8+P8-Q8+R8-S8+T8-U8+V8-W8+X8-Y8+Z8-AA8+AB8-AC8+AD8-AE8+AF8-AG8+AH8-AI8+AJ8-AK8+AL8-AM8+AN8-AO8+AP8-AQ8+AR8-AS8+AT8-AU8+AV8-AW8+AX8-AY8+AZ8-BA8+BB8-BC8+BD8-BE8+BF8-BG8+BH8-BI8+BJ8-BK8+BL8-BM8+BN8-BO8+BP8-BQ8</f>
        <v>-3.0013325158506632E-11</v>
      </c>
      <c r="BS8" s="244"/>
      <c r="BT8" s="244"/>
    </row>
    <row r="9" spans="1:256" s="79" customFormat="1">
      <c r="A9" s="233"/>
      <c r="B9" s="257"/>
      <c r="C9" s="186"/>
      <c r="D9" s="212"/>
      <c r="E9" s="213"/>
      <c r="F9" s="212"/>
      <c r="G9" s="213"/>
      <c r="H9" s="212"/>
      <c r="I9" s="213"/>
      <c r="J9" s="212"/>
      <c r="K9" s="213"/>
      <c r="L9" s="212"/>
      <c r="M9" s="213"/>
      <c r="N9" s="212"/>
      <c r="O9" s="213"/>
      <c r="P9" s="212"/>
      <c r="Q9" s="213"/>
      <c r="R9" s="212"/>
      <c r="S9" s="213"/>
      <c r="T9" s="212"/>
      <c r="U9" s="213"/>
      <c r="V9" s="212"/>
      <c r="W9" s="213"/>
      <c r="X9" s="212"/>
      <c r="Y9" s="213"/>
      <c r="Z9" s="212"/>
      <c r="AA9" s="213"/>
      <c r="AB9" s="212"/>
      <c r="AC9" s="213"/>
      <c r="AD9" s="212"/>
      <c r="AE9" s="213"/>
      <c r="AF9" s="212"/>
      <c r="AG9" s="213"/>
      <c r="AH9" s="212"/>
      <c r="AI9" s="213"/>
      <c r="AJ9" s="212"/>
      <c r="AK9" s="213"/>
      <c r="AL9" s="212"/>
      <c r="AM9" s="213"/>
      <c r="AN9" s="212"/>
      <c r="AO9" s="213"/>
      <c r="AP9" s="212"/>
      <c r="AQ9" s="213"/>
      <c r="AR9" s="212"/>
      <c r="AS9" s="213"/>
      <c r="AT9" s="212"/>
      <c r="AU9" s="213"/>
      <c r="AV9" s="212"/>
      <c r="AW9" s="213"/>
      <c r="AX9" s="212"/>
      <c r="AY9" s="213"/>
      <c r="AZ9" s="212"/>
      <c r="BA9" s="213"/>
      <c r="BB9" s="212"/>
      <c r="BC9" s="213"/>
      <c r="BD9" s="212"/>
      <c r="BE9" s="213"/>
      <c r="BF9" s="212"/>
      <c r="BG9" s="213"/>
      <c r="BH9" s="212"/>
      <c r="BI9" s="213"/>
      <c r="BJ9" s="212"/>
      <c r="BK9" s="213"/>
      <c r="BL9" s="212"/>
      <c r="BM9" s="213"/>
      <c r="BN9" s="212"/>
      <c r="BO9" s="213"/>
      <c r="BP9" s="212"/>
      <c r="BQ9" s="213"/>
      <c r="BR9" s="193">
        <f t="shared" si="0"/>
        <v>0</v>
      </c>
      <c r="BS9" s="194"/>
      <c r="BT9" s="194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79" customFormat="1">
      <c r="A10" s="260">
        <v>41291</v>
      </c>
      <c r="B10" s="280" t="s">
        <v>756</v>
      </c>
      <c r="C10" s="285" t="s">
        <v>715</v>
      </c>
      <c r="D10" s="214"/>
      <c r="E10" s="215"/>
      <c r="F10" s="214"/>
      <c r="G10" s="215">
        <v>534.28</v>
      </c>
      <c r="H10" s="214"/>
      <c r="I10" s="215"/>
      <c r="J10" s="214"/>
      <c r="K10" s="215"/>
      <c r="L10" s="214"/>
      <c r="M10" s="215"/>
      <c r="N10" s="214"/>
      <c r="O10" s="215"/>
      <c r="P10" s="214"/>
      <c r="Q10" s="215"/>
      <c r="R10" s="214"/>
      <c r="S10" s="215"/>
      <c r="T10" s="214"/>
      <c r="U10" s="215"/>
      <c r="V10" s="214"/>
      <c r="W10" s="215"/>
      <c r="X10" s="214"/>
      <c r="Y10" s="215"/>
      <c r="Z10" s="214"/>
      <c r="AA10" s="215"/>
      <c r="AB10" s="214"/>
      <c r="AC10" s="215"/>
      <c r="AD10" s="214"/>
      <c r="AE10" s="215"/>
      <c r="AF10" s="214"/>
      <c r="AG10" s="215"/>
      <c r="AH10" s="214"/>
      <c r="AI10" s="215"/>
      <c r="AJ10" s="214"/>
      <c r="AK10" s="215"/>
      <c r="AL10" s="214"/>
      <c r="AM10" s="215"/>
      <c r="AN10" s="214"/>
      <c r="AO10" s="215"/>
      <c r="AP10" s="214"/>
      <c r="AQ10" s="215"/>
      <c r="AR10" s="214"/>
      <c r="AS10" s="215"/>
      <c r="AT10" s="214"/>
      <c r="AU10" s="215"/>
      <c r="AV10" s="214"/>
      <c r="AW10" s="215"/>
      <c r="AX10" s="214"/>
      <c r="AY10" s="215"/>
      <c r="AZ10" s="214"/>
      <c r="BA10" s="215"/>
      <c r="BB10" s="214"/>
      <c r="BC10" s="215"/>
      <c r="BD10" s="214"/>
      <c r="BE10" s="215"/>
      <c r="BF10" s="214"/>
      <c r="BG10" s="215"/>
      <c r="BH10" s="214"/>
      <c r="BI10" s="215"/>
      <c r="BJ10" s="214"/>
      <c r="BK10" s="215"/>
      <c r="BL10" s="214"/>
      <c r="BM10" s="215"/>
      <c r="BN10" s="214">
        <v>534.28</v>
      </c>
      <c r="BO10" s="215"/>
      <c r="BP10" s="214"/>
      <c r="BQ10" s="215"/>
      <c r="BR10" s="193">
        <f t="shared" si="0"/>
        <v>0</v>
      </c>
      <c r="BS10" s="194"/>
      <c r="BT10" s="194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79" customFormat="1">
      <c r="A11" s="261">
        <v>41292</v>
      </c>
      <c r="B11" s="280" t="s">
        <v>786</v>
      </c>
      <c r="C11" s="284" t="s">
        <v>716</v>
      </c>
      <c r="D11" s="214"/>
      <c r="E11" s="215"/>
      <c r="F11" s="214"/>
      <c r="G11" s="215">
        <v>4337</v>
      </c>
      <c r="H11" s="214"/>
      <c r="I11" s="215"/>
      <c r="J11" s="214"/>
      <c r="K11" s="215"/>
      <c r="L11" s="214"/>
      <c r="M11" s="215"/>
      <c r="N11" s="214"/>
      <c r="O11" s="215"/>
      <c r="P11" s="214"/>
      <c r="Q11" s="215"/>
      <c r="R11" s="214"/>
      <c r="S11" s="215"/>
      <c r="T11" s="214"/>
      <c r="U11" s="215"/>
      <c r="V11" s="214"/>
      <c r="W11" s="215"/>
      <c r="X11" s="214"/>
      <c r="Y11" s="215"/>
      <c r="Z11" s="214"/>
      <c r="AA11" s="215"/>
      <c r="AB11" s="214">
        <v>4337</v>
      </c>
      <c r="AC11" s="215"/>
      <c r="AD11" s="214"/>
      <c r="AE11" s="215"/>
      <c r="AF11" s="214"/>
      <c r="AG11" s="215"/>
      <c r="AH11" s="214"/>
      <c r="AI11" s="215"/>
      <c r="AJ11" s="214"/>
      <c r="AK11" s="215"/>
      <c r="AL11" s="214"/>
      <c r="AM11" s="215"/>
      <c r="AN11" s="214"/>
      <c r="AO11" s="215"/>
      <c r="AP11" s="214"/>
      <c r="AQ11" s="215"/>
      <c r="AR11" s="214"/>
      <c r="AS11" s="215"/>
      <c r="AT11" s="214"/>
      <c r="AU11" s="215"/>
      <c r="AV11" s="214"/>
      <c r="AW11" s="215"/>
      <c r="AX11" s="214"/>
      <c r="AY11" s="215"/>
      <c r="AZ11" s="214"/>
      <c r="BA11" s="215"/>
      <c r="BB11" s="214"/>
      <c r="BC11" s="215"/>
      <c r="BD11" s="214"/>
      <c r="BE11" s="215"/>
      <c r="BF11" s="214"/>
      <c r="BG11" s="215"/>
      <c r="BH11" s="214"/>
      <c r="BI11" s="215"/>
      <c r="BJ11" s="214"/>
      <c r="BK11" s="215"/>
      <c r="BL11" s="214"/>
      <c r="BM11" s="215"/>
      <c r="BN11" s="214"/>
      <c r="BO11" s="215"/>
      <c r="BP11" s="214"/>
      <c r="BQ11" s="215"/>
      <c r="BR11" s="193">
        <f t="shared" si="0"/>
        <v>0</v>
      </c>
      <c r="BS11" s="194"/>
      <c r="BT11" s="194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79" customFormat="1">
      <c r="A12" s="233">
        <v>41295</v>
      </c>
      <c r="B12" s="273" t="s">
        <v>594</v>
      </c>
      <c r="C12" s="285" t="s">
        <v>717</v>
      </c>
      <c r="D12" s="212"/>
      <c r="E12" s="213"/>
      <c r="F12" s="212">
        <v>1052</v>
      </c>
      <c r="G12" s="259"/>
      <c r="H12" s="212"/>
      <c r="I12" s="213"/>
      <c r="J12" s="212"/>
      <c r="K12" s="213"/>
      <c r="L12" s="212"/>
      <c r="M12" s="213">
        <v>1052</v>
      </c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  <c r="Z12" s="212"/>
      <c r="AA12" s="213"/>
      <c r="AB12" s="212"/>
      <c r="AC12" s="213"/>
      <c r="AD12" s="212"/>
      <c r="AE12" s="213"/>
      <c r="AF12" s="212"/>
      <c r="AG12" s="213"/>
      <c r="AH12" s="212"/>
      <c r="AI12" s="213"/>
      <c r="AJ12" s="212"/>
      <c r="AK12" s="213"/>
      <c r="AL12" s="212"/>
      <c r="AM12" s="213"/>
      <c r="AN12" s="212"/>
      <c r="AO12" s="213"/>
      <c r="AP12" s="212"/>
      <c r="AQ12" s="213"/>
      <c r="AR12" s="212"/>
      <c r="AS12" s="213"/>
      <c r="AT12" s="212"/>
      <c r="AU12" s="213"/>
      <c r="AV12" s="212"/>
      <c r="AW12" s="213"/>
      <c r="AX12" s="212"/>
      <c r="AY12" s="213"/>
      <c r="AZ12" s="212"/>
      <c r="BA12" s="213"/>
      <c r="BB12" s="212"/>
      <c r="BC12" s="213"/>
      <c r="BD12" s="212"/>
      <c r="BE12" s="213"/>
      <c r="BF12" s="212"/>
      <c r="BG12" s="213"/>
      <c r="BH12" s="212"/>
      <c r="BI12" s="213"/>
      <c r="BJ12" s="212"/>
      <c r="BK12" s="213"/>
      <c r="BL12" s="212"/>
      <c r="BM12" s="213"/>
      <c r="BN12" s="212"/>
      <c r="BO12" s="213"/>
      <c r="BP12" s="212"/>
      <c r="BQ12" s="213"/>
      <c r="BR12" s="193">
        <f t="shared" si="0"/>
        <v>0</v>
      </c>
      <c r="BS12" s="194"/>
      <c r="BT12" s="194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79" customFormat="1">
      <c r="A13" s="233">
        <v>41306</v>
      </c>
      <c r="B13" s="262" t="s">
        <v>268</v>
      </c>
      <c r="C13" s="284" t="s">
        <v>718</v>
      </c>
      <c r="D13" s="212"/>
      <c r="E13" s="213"/>
      <c r="F13" s="212"/>
      <c r="G13" s="213">
        <v>5.5</v>
      </c>
      <c r="H13" s="212"/>
      <c r="I13" s="213"/>
      <c r="J13" s="212"/>
      <c r="K13" s="213"/>
      <c r="L13" s="212"/>
      <c r="M13" s="213"/>
      <c r="N13" s="212"/>
      <c r="O13" s="213"/>
      <c r="P13" s="212"/>
      <c r="Q13" s="213"/>
      <c r="R13" s="212"/>
      <c r="S13" s="213"/>
      <c r="T13" s="212">
        <v>5.5</v>
      </c>
      <c r="U13" s="213"/>
      <c r="V13" s="212"/>
      <c r="W13" s="213"/>
      <c r="X13" s="212"/>
      <c r="Y13" s="213"/>
      <c r="Z13" s="212"/>
      <c r="AA13" s="213"/>
      <c r="AB13" s="212"/>
      <c r="AC13" s="213"/>
      <c r="AD13" s="212"/>
      <c r="AE13" s="213"/>
      <c r="AF13" s="212"/>
      <c r="AG13" s="213"/>
      <c r="AH13" s="212"/>
      <c r="AI13" s="213"/>
      <c r="AJ13" s="212"/>
      <c r="AK13" s="213"/>
      <c r="AL13" s="212"/>
      <c r="AM13" s="213"/>
      <c r="AN13" s="212"/>
      <c r="AO13" s="213"/>
      <c r="AP13" s="212"/>
      <c r="AQ13" s="213"/>
      <c r="AR13" s="212"/>
      <c r="AS13" s="213"/>
      <c r="AT13" s="212"/>
      <c r="AU13" s="213"/>
      <c r="AV13" s="212"/>
      <c r="AW13" s="213"/>
      <c r="AX13" s="212"/>
      <c r="AY13" s="213"/>
      <c r="AZ13" s="212"/>
      <c r="BA13" s="213"/>
      <c r="BB13" s="212"/>
      <c r="BC13" s="213"/>
      <c r="BD13" s="212"/>
      <c r="BE13" s="213"/>
      <c r="BF13" s="212"/>
      <c r="BG13" s="213"/>
      <c r="BH13" s="212"/>
      <c r="BI13" s="213"/>
      <c r="BJ13" s="212"/>
      <c r="BK13" s="213"/>
      <c r="BL13" s="212"/>
      <c r="BM13" s="213"/>
      <c r="BN13" s="212"/>
      <c r="BO13" s="213"/>
      <c r="BP13" s="212"/>
      <c r="BQ13" s="213"/>
      <c r="BR13" s="193">
        <f t="shared" si="0"/>
        <v>0</v>
      </c>
      <c r="BS13" s="194"/>
      <c r="BT13" s="194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79" customFormat="1">
      <c r="A14" s="233">
        <v>41317</v>
      </c>
      <c r="B14" s="280" t="s">
        <v>788</v>
      </c>
      <c r="C14" s="285" t="s">
        <v>719</v>
      </c>
      <c r="D14" s="212"/>
      <c r="E14" s="213"/>
      <c r="F14" s="212"/>
      <c r="G14" s="213"/>
      <c r="H14" s="212"/>
      <c r="I14" s="213"/>
      <c r="J14" s="212"/>
      <c r="K14" s="213"/>
      <c r="L14" s="212">
        <v>6800</v>
      </c>
      <c r="M14" s="213"/>
      <c r="N14" s="212"/>
      <c r="O14" s="213"/>
      <c r="P14" s="212"/>
      <c r="Q14" s="213"/>
      <c r="R14" s="212"/>
      <c r="S14" s="213"/>
      <c r="T14" s="212"/>
      <c r="U14" s="213"/>
      <c r="V14" s="212"/>
      <c r="W14" s="213"/>
      <c r="X14" s="212"/>
      <c r="Y14" s="213"/>
      <c r="Z14" s="212"/>
      <c r="AA14" s="213"/>
      <c r="AB14" s="212"/>
      <c r="AC14" s="213"/>
      <c r="AD14" s="212"/>
      <c r="AE14" s="213"/>
      <c r="AF14" s="212"/>
      <c r="AG14" s="213"/>
      <c r="AH14" s="212"/>
      <c r="AI14" s="213"/>
      <c r="AJ14" s="212"/>
      <c r="AK14" s="213"/>
      <c r="AL14" s="212"/>
      <c r="AM14" s="213"/>
      <c r="AN14" s="212"/>
      <c r="AO14" s="213"/>
      <c r="AP14" s="212"/>
      <c r="AQ14" s="213"/>
      <c r="AR14" s="212"/>
      <c r="AS14" s="213"/>
      <c r="AT14" s="212"/>
      <c r="AU14" s="213"/>
      <c r="AV14" s="212"/>
      <c r="AW14" s="213"/>
      <c r="AX14" s="212"/>
      <c r="AY14" s="213"/>
      <c r="AZ14" s="212"/>
      <c r="BA14" s="213"/>
      <c r="BB14" s="212"/>
      <c r="BC14" s="213"/>
      <c r="BD14" s="212"/>
      <c r="BE14" s="213"/>
      <c r="BF14" s="212"/>
      <c r="BG14" s="213"/>
      <c r="BH14" s="212"/>
      <c r="BI14" s="213"/>
      <c r="BJ14" s="212"/>
      <c r="BK14" s="213"/>
      <c r="BL14" s="212"/>
      <c r="BM14" s="213"/>
      <c r="BN14" s="212"/>
      <c r="BO14" s="213">
        <v>6800</v>
      </c>
      <c r="BP14" s="212"/>
      <c r="BQ14" s="213"/>
      <c r="BR14" s="193">
        <f t="shared" si="0"/>
        <v>0</v>
      </c>
      <c r="BS14" s="194"/>
      <c r="BT14" s="194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185" customFormat="1">
      <c r="A15" s="233">
        <v>41352</v>
      </c>
      <c r="B15" s="280" t="s">
        <v>789</v>
      </c>
      <c r="C15" s="285" t="s">
        <v>719</v>
      </c>
      <c r="D15" s="212"/>
      <c r="E15" s="213"/>
      <c r="F15" s="212"/>
      <c r="G15" s="213">
        <v>6800</v>
      </c>
      <c r="H15" s="212"/>
      <c r="I15" s="213"/>
      <c r="J15" s="212"/>
      <c r="K15" s="213"/>
      <c r="L15" s="212"/>
      <c r="M15" s="213"/>
      <c r="N15" s="212"/>
      <c r="O15" s="213"/>
      <c r="P15" s="212"/>
      <c r="Q15" s="213"/>
      <c r="R15" s="212"/>
      <c r="S15" s="213"/>
      <c r="T15" s="212"/>
      <c r="U15" s="213"/>
      <c r="V15" s="212"/>
      <c r="W15" s="213"/>
      <c r="X15" s="212"/>
      <c r="Y15" s="213"/>
      <c r="Z15" s="212"/>
      <c r="AA15" s="213"/>
      <c r="AB15" s="212"/>
      <c r="AC15" s="213"/>
      <c r="AD15" s="212"/>
      <c r="AE15" s="213"/>
      <c r="AF15" s="212"/>
      <c r="AG15" s="213"/>
      <c r="AH15" s="212"/>
      <c r="AI15" s="213"/>
      <c r="AJ15" s="212"/>
      <c r="AK15" s="213"/>
      <c r="AL15" s="212"/>
      <c r="AM15" s="213"/>
      <c r="AN15" s="212"/>
      <c r="AO15" s="213"/>
      <c r="AP15" s="212"/>
      <c r="AQ15" s="213"/>
      <c r="AR15" s="212"/>
      <c r="AS15" s="213"/>
      <c r="AT15" s="212"/>
      <c r="AU15" s="213"/>
      <c r="AV15" s="212"/>
      <c r="AW15" s="213"/>
      <c r="AX15" s="212"/>
      <c r="AY15" s="213"/>
      <c r="AZ15" s="212"/>
      <c r="BA15" s="213"/>
      <c r="BB15" s="212"/>
      <c r="BC15" s="213"/>
      <c r="BD15" s="212"/>
      <c r="BE15" s="213"/>
      <c r="BF15" s="212"/>
      <c r="BG15" s="213"/>
      <c r="BH15" s="212"/>
      <c r="BI15" s="213"/>
      <c r="BJ15" s="212"/>
      <c r="BK15" s="213"/>
      <c r="BL15" s="212"/>
      <c r="BM15" s="213"/>
      <c r="BN15" s="212">
        <v>6800</v>
      </c>
      <c r="BO15" s="213"/>
      <c r="BP15" s="212"/>
      <c r="BQ15" s="213"/>
      <c r="BR15" s="193">
        <f t="shared" si="0"/>
        <v>0</v>
      </c>
      <c r="BS15" s="194"/>
      <c r="BT15" s="194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79" customFormat="1">
      <c r="A16" s="233">
        <v>41352</v>
      </c>
      <c r="B16" s="280" t="s">
        <v>758</v>
      </c>
      <c r="C16" s="284" t="s">
        <v>720</v>
      </c>
      <c r="D16" s="212"/>
      <c r="E16" s="213"/>
      <c r="F16" s="212">
        <v>7500</v>
      </c>
      <c r="G16" s="213"/>
      <c r="H16" s="212"/>
      <c r="I16" s="213"/>
      <c r="J16" s="212"/>
      <c r="K16" s="213"/>
      <c r="L16" s="212"/>
      <c r="M16" s="213"/>
      <c r="N16" s="212"/>
      <c r="O16" s="213"/>
      <c r="P16" s="212"/>
      <c r="Q16" s="213"/>
      <c r="R16" s="212"/>
      <c r="S16" s="213"/>
      <c r="T16" s="212"/>
      <c r="U16" s="213"/>
      <c r="V16" s="212"/>
      <c r="W16" s="213"/>
      <c r="X16" s="212"/>
      <c r="Y16" s="213"/>
      <c r="Z16" s="212"/>
      <c r="AA16" s="213"/>
      <c r="AB16" s="212"/>
      <c r="AC16" s="213"/>
      <c r="AD16" s="212"/>
      <c r="AE16" s="213"/>
      <c r="AF16" s="212"/>
      <c r="AG16" s="213"/>
      <c r="AH16" s="212"/>
      <c r="AI16" s="213">
        <v>7500</v>
      </c>
      <c r="AJ16" s="212"/>
      <c r="AK16" s="213"/>
      <c r="AL16" s="212"/>
      <c r="AM16" s="213"/>
      <c r="AN16" s="212"/>
      <c r="AO16" s="213"/>
      <c r="AP16" s="212"/>
      <c r="AQ16" s="213"/>
      <c r="AR16" s="212"/>
      <c r="AS16" s="213"/>
      <c r="AT16" s="212"/>
      <c r="AU16" s="213"/>
      <c r="AV16" s="212"/>
      <c r="AW16" s="213"/>
      <c r="AX16" s="212"/>
      <c r="AY16" s="213"/>
      <c r="AZ16" s="212"/>
      <c r="BA16" s="213"/>
      <c r="BB16" s="212"/>
      <c r="BC16" s="213"/>
      <c r="BD16" s="212"/>
      <c r="BE16" s="213"/>
      <c r="BF16" s="212"/>
      <c r="BG16" s="213"/>
      <c r="BH16" s="212"/>
      <c r="BI16" s="213"/>
      <c r="BJ16" s="212"/>
      <c r="BK16" s="213"/>
      <c r="BL16" s="212"/>
      <c r="BM16" s="213"/>
      <c r="BN16" s="212"/>
      <c r="BO16" s="213"/>
      <c r="BP16" s="212"/>
      <c r="BQ16" s="213"/>
      <c r="BR16" s="193">
        <f t="shared" si="0"/>
        <v>0</v>
      </c>
      <c r="BS16" s="194"/>
      <c r="BT16" s="194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79" customFormat="1">
      <c r="A17" s="233">
        <v>41366</v>
      </c>
      <c r="B17" s="262" t="s">
        <v>268</v>
      </c>
      <c r="C17" s="285" t="s">
        <v>721</v>
      </c>
      <c r="D17" s="212"/>
      <c r="E17" s="213"/>
      <c r="F17" s="212"/>
      <c r="G17" s="213">
        <v>4.5</v>
      </c>
      <c r="H17" s="212"/>
      <c r="I17" s="213"/>
      <c r="J17" s="212"/>
      <c r="K17" s="213"/>
      <c r="L17" s="212"/>
      <c r="M17" s="213"/>
      <c r="N17" s="212"/>
      <c r="O17" s="213"/>
      <c r="P17" s="212"/>
      <c r="Q17" s="213"/>
      <c r="R17" s="212"/>
      <c r="S17" s="213"/>
      <c r="T17" s="212">
        <v>4.5</v>
      </c>
      <c r="U17" s="213"/>
      <c r="V17" s="212"/>
      <c r="W17" s="213"/>
      <c r="X17" s="212"/>
      <c r="Y17" s="213"/>
      <c r="Z17" s="212"/>
      <c r="AA17" s="213"/>
      <c r="AB17" s="212"/>
      <c r="AC17" s="213"/>
      <c r="AD17" s="212"/>
      <c r="AE17" s="213"/>
      <c r="AF17" s="212"/>
      <c r="AG17" s="213"/>
      <c r="AH17" s="212"/>
      <c r="AI17" s="213"/>
      <c r="AJ17" s="212"/>
      <c r="AK17" s="213"/>
      <c r="AL17" s="212"/>
      <c r="AM17" s="213"/>
      <c r="AN17" s="212"/>
      <c r="AO17" s="213"/>
      <c r="AP17" s="212"/>
      <c r="AQ17" s="213"/>
      <c r="AR17" s="212"/>
      <c r="AS17" s="213"/>
      <c r="AT17" s="212"/>
      <c r="AU17" s="213"/>
      <c r="AV17" s="212"/>
      <c r="AW17" s="213"/>
      <c r="AX17" s="212"/>
      <c r="AY17" s="213"/>
      <c r="AZ17" s="212"/>
      <c r="BA17" s="213"/>
      <c r="BB17" s="212"/>
      <c r="BC17" s="213"/>
      <c r="BD17" s="212"/>
      <c r="BE17" s="213"/>
      <c r="BF17" s="212"/>
      <c r="BG17" s="213"/>
      <c r="BH17" s="212"/>
      <c r="BI17" s="213"/>
      <c r="BJ17" s="212"/>
      <c r="BK17" s="213"/>
      <c r="BL17" s="212"/>
      <c r="BM17" s="213"/>
      <c r="BN17" s="212"/>
      <c r="BO17" s="213"/>
      <c r="BP17" s="212"/>
      <c r="BQ17" s="213"/>
      <c r="BR17" s="193">
        <f t="shared" si="0"/>
        <v>0</v>
      </c>
      <c r="BS17" s="194"/>
      <c r="BT17" s="194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185" customFormat="1">
      <c r="A18" s="233">
        <v>41366</v>
      </c>
      <c r="B18" s="257" t="s">
        <v>593</v>
      </c>
      <c r="C18" s="284" t="s">
        <v>722</v>
      </c>
      <c r="D18" s="212"/>
      <c r="E18" s="213"/>
      <c r="F18" s="212"/>
      <c r="G18" s="213">
        <v>1377</v>
      </c>
      <c r="H18" s="212"/>
      <c r="I18" s="213"/>
      <c r="J18" s="212"/>
      <c r="K18" s="213"/>
      <c r="L18" s="212"/>
      <c r="M18" s="213"/>
      <c r="N18" s="212"/>
      <c r="O18" s="213"/>
      <c r="P18" s="212"/>
      <c r="Q18" s="213"/>
      <c r="R18" s="212">
        <v>1377</v>
      </c>
      <c r="S18" s="213"/>
      <c r="T18" s="212"/>
      <c r="U18" s="213"/>
      <c r="V18" s="212"/>
      <c r="W18" s="213"/>
      <c r="X18" s="212"/>
      <c r="Y18" s="213"/>
      <c r="Z18" s="212"/>
      <c r="AA18" s="213"/>
      <c r="AB18" s="212"/>
      <c r="AC18" s="213"/>
      <c r="AD18" s="212"/>
      <c r="AE18" s="213"/>
      <c r="AF18" s="212"/>
      <c r="AG18" s="213"/>
      <c r="AH18" s="212"/>
      <c r="AI18" s="213"/>
      <c r="AJ18" s="212"/>
      <c r="AK18" s="213"/>
      <c r="AL18" s="212"/>
      <c r="AM18" s="213"/>
      <c r="AN18" s="212"/>
      <c r="AO18" s="213"/>
      <c r="AP18" s="212"/>
      <c r="AQ18" s="213"/>
      <c r="AR18" s="212"/>
      <c r="AS18" s="213"/>
      <c r="AT18" s="212"/>
      <c r="AU18" s="213"/>
      <c r="AV18" s="212"/>
      <c r="AW18" s="213"/>
      <c r="AX18" s="212"/>
      <c r="AY18" s="213"/>
      <c r="AZ18" s="212"/>
      <c r="BA18" s="213"/>
      <c r="BB18" s="212"/>
      <c r="BC18" s="213"/>
      <c r="BD18" s="212"/>
      <c r="BE18" s="213"/>
      <c r="BF18" s="212"/>
      <c r="BG18" s="213"/>
      <c r="BH18" s="212"/>
      <c r="BI18" s="213"/>
      <c r="BJ18" s="212"/>
      <c r="BK18" s="213"/>
      <c r="BL18" s="212"/>
      <c r="BM18" s="213"/>
      <c r="BN18" s="212"/>
      <c r="BO18" s="213"/>
      <c r="BP18" s="212"/>
      <c r="BQ18" s="213"/>
      <c r="BR18" s="193">
        <f t="shared" si="0"/>
        <v>0</v>
      </c>
      <c r="BS18" s="194"/>
      <c r="BT18" s="194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79" customFormat="1">
      <c r="A19" s="233">
        <v>41380</v>
      </c>
      <c r="B19" s="257" t="s">
        <v>591</v>
      </c>
      <c r="C19" s="285" t="s">
        <v>723</v>
      </c>
      <c r="D19" s="214"/>
      <c r="E19" s="215"/>
      <c r="F19" s="214">
        <v>200</v>
      </c>
      <c r="G19" s="215"/>
      <c r="H19" s="214"/>
      <c r="I19" s="215"/>
      <c r="J19" s="214"/>
      <c r="K19" s="215"/>
      <c r="L19" s="214"/>
      <c r="M19" s="215"/>
      <c r="N19" s="214"/>
      <c r="O19" s="215"/>
      <c r="P19" s="214"/>
      <c r="Q19" s="215"/>
      <c r="R19" s="214"/>
      <c r="S19" s="215"/>
      <c r="T19" s="214"/>
      <c r="U19" s="215"/>
      <c r="V19" s="214"/>
      <c r="W19" s="215"/>
      <c r="X19" s="214"/>
      <c r="Y19" s="215"/>
      <c r="Z19" s="214"/>
      <c r="AA19" s="215"/>
      <c r="AB19" s="214"/>
      <c r="AC19" s="215"/>
      <c r="AD19" s="214"/>
      <c r="AE19" s="215"/>
      <c r="AF19" s="214"/>
      <c r="AG19" s="215">
        <v>200</v>
      </c>
      <c r="AH19" s="214"/>
      <c r="AI19" s="215"/>
      <c r="AJ19" s="214"/>
      <c r="AK19" s="215"/>
      <c r="AL19" s="214"/>
      <c r="AM19" s="215"/>
      <c r="AN19" s="214"/>
      <c r="AO19" s="215"/>
      <c r="AP19" s="214"/>
      <c r="AQ19" s="215"/>
      <c r="AR19" s="214"/>
      <c r="AS19" s="215"/>
      <c r="AT19" s="214"/>
      <c r="AU19" s="215"/>
      <c r="AV19" s="214"/>
      <c r="AW19" s="215"/>
      <c r="AX19" s="214"/>
      <c r="AY19" s="215"/>
      <c r="AZ19" s="214"/>
      <c r="BA19" s="215"/>
      <c r="BB19" s="214"/>
      <c r="BC19" s="215"/>
      <c r="BD19" s="214"/>
      <c r="BE19" s="215"/>
      <c r="BF19" s="214"/>
      <c r="BG19" s="215"/>
      <c r="BH19" s="214"/>
      <c r="BI19" s="215"/>
      <c r="BJ19" s="214"/>
      <c r="BK19" s="215"/>
      <c r="BL19" s="214"/>
      <c r="BM19" s="215"/>
      <c r="BN19" s="214"/>
      <c r="BO19" s="215"/>
      <c r="BP19" s="214"/>
      <c r="BQ19" s="215"/>
      <c r="BR19" s="193">
        <f t="shared" si="0"/>
        <v>0</v>
      </c>
      <c r="BS19" s="194"/>
      <c r="BT19" s="194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79" customFormat="1">
      <c r="A20" s="234">
        <v>41382</v>
      </c>
      <c r="B20" s="280" t="s">
        <v>758</v>
      </c>
      <c r="C20" s="284" t="s">
        <v>724</v>
      </c>
      <c r="D20" s="214"/>
      <c r="E20" s="215"/>
      <c r="F20" s="214">
        <v>1000</v>
      </c>
      <c r="G20" s="215"/>
      <c r="H20" s="214"/>
      <c r="I20" s="215"/>
      <c r="J20" s="214"/>
      <c r="K20" s="215"/>
      <c r="L20" s="214"/>
      <c r="M20" s="215"/>
      <c r="N20" s="214"/>
      <c r="O20" s="215"/>
      <c r="P20" s="214"/>
      <c r="Q20" s="215"/>
      <c r="R20" s="214"/>
      <c r="S20" s="215"/>
      <c r="T20" s="214"/>
      <c r="U20" s="215"/>
      <c r="V20" s="214"/>
      <c r="W20" s="215"/>
      <c r="X20" s="214"/>
      <c r="Y20" s="215"/>
      <c r="Z20" s="214"/>
      <c r="AA20" s="215"/>
      <c r="AB20" s="214"/>
      <c r="AC20" s="215"/>
      <c r="AD20" s="214"/>
      <c r="AE20" s="215"/>
      <c r="AF20" s="214"/>
      <c r="AG20" s="215"/>
      <c r="AH20" s="214"/>
      <c r="AI20" s="215">
        <v>1000</v>
      </c>
      <c r="AJ20" s="214"/>
      <c r="AK20" s="215"/>
      <c r="AL20" s="214"/>
      <c r="AM20" s="215"/>
      <c r="AN20" s="214"/>
      <c r="AO20" s="215"/>
      <c r="AP20" s="214"/>
      <c r="AQ20" s="215"/>
      <c r="AR20" s="214"/>
      <c r="AS20" s="215"/>
      <c r="AT20" s="214"/>
      <c r="AU20" s="215"/>
      <c r="AV20" s="214"/>
      <c r="AW20" s="215"/>
      <c r="AX20" s="214"/>
      <c r="AY20" s="215"/>
      <c r="AZ20" s="214"/>
      <c r="BA20" s="215"/>
      <c r="BB20" s="214"/>
      <c r="BC20" s="215"/>
      <c r="BD20" s="214"/>
      <c r="BE20" s="215"/>
      <c r="BF20" s="214"/>
      <c r="BG20" s="215"/>
      <c r="BH20" s="214"/>
      <c r="BI20" s="215"/>
      <c r="BJ20" s="214"/>
      <c r="BK20" s="215"/>
      <c r="BL20" s="214"/>
      <c r="BM20" s="215"/>
      <c r="BN20" s="214"/>
      <c r="BO20" s="215"/>
      <c r="BP20" s="214"/>
      <c r="BQ20" s="215"/>
      <c r="BR20" s="193">
        <f t="shared" si="0"/>
        <v>0</v>
      </c>
      <c r="BS20" s="70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79" customFormat="1">
      <c r="A21" s="233">
        <v>41383</v>
      </c>
      <c r="B21" s="257" t="s">
        <v>757</v>
      </c>
      <c r="C21" s="285" t="s">
        <v>725</v>
      </c>
      <c r="D21" s="214"/>
      <c r="E21" s="215"/>
      <c r="F21" s="214"/>
      <c r="G21" s="215">
        <v>1118</v>
      </c>
      <c r="H21" s="214"/>
      <c r="I21" s="215"/>
      <c r="J21" s="214"/>
      <c r="K21" s="215"/>
      <c r="L21" s="214"/>
      <c r="M21" s="215"/>
      <c r="N21" s="214"/>
      <c r="O21" s="215"/>
      <c r="P21" s="214">
        <v>1118</v>
      </c>
      <c r="Q21" s="215"/>
      <c r="R21" s="214"/>
      <c r="S21" s="215"/>
      <c r="T21" s="214"/>
      <c r="U21" s="215"/>
      <c r="V21" s="214"/>
      <c r="W21" s="215"/>
      <c r="X21" s="214"/>
      <c r="Y21" s="215"/>
      <c r="Z21" s="214"/>
      <c r="AA21" s="215"/>
      <c r="AB21" s="214"/>
      <c r="AC21" s="215"/>
      <c r="AD21" s="214"/>
      <c r="AE21" s="215"/>
      <c r="AF21" s="214"/>
      <c r="AG21" s="215"/>
      <c r="AH21" s="214"/>
      <c r="AI21" s="215"/>
      <c r="AJ21" s="214"/>
      <c r="AK21" s="215"/>
      <c r="AL21" s="214"/>
      <c r="AM21" s="215"/>
      <c r="AN21" s="214"/>
      <c r="AO21" s="215"/>
      <c r="AP21" s="214"/>
      <c r="AQ21" s="215"/>
      <c r="AR21" s="214"/>
      <c r="AS21" s="215"/>
      <c r="AT21" s="214"/>
      <c r="AU21" s="215"/>
      <c r="AV21" s="214"/>
      <c r="AW21" s="215"/>
      <c r="AX21" s="214"/>
      <c r="AY21" s="215"/>
      <c r="AZ21" s="214"/>
      <c r="BA21" s="215"/>
      <c r="BB21" s="214"/>
      <c r="BC21" s="215"/>
      <c r="BD21" s="214"/>
      <c r="BE21" s="215"/>
      <c r="BF21" s="214"/>
      <c r="BG21" s="215"/>
      <c r="BH21" s="214"/>
      <c r="BI21" s="215"/>
      <c r="BJ21" s="214"/>
      <c r="BK21" s="215"/>
      <c r="BL21" s="214"/>
      <c r="BM21" s="215"/>
      <c r="BN21" s="214"/>
      <c r="BO21" s="215"/>
      <c r="BP21" s="214"/>
      <c r="BQ21" s="215"/>
      <c r="BR21" s="193">
        <f t="shared" si="0"/>
        <v>0</v>
      </c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79" customFormat="1">
      <c r="A22" s="234">
        <v>41396</v>
      </c>
      <c r="B22" s="262" t="s">
        <v>268</v>
      </c>
      <c r="C22" s="284" t="s">
        <v>726</v>
      </c>
      <c r="D22" s="214"/>
      <c r="E22" s="215"/>
      <c r="F22" s="214"/>
      <c r="G22" s="215">
        <v>5.5</v>
      </c>
      <c r="H22" s="214"/>
      <c r="I22" s="215"/>
      <c r="J22" s="214"/>
      <c r="K22" s="215"/>
      <c r="L22" s="214"/>
      <c r="M22" s="215"/>
      <c r="N22" s="214"/>
      <c r="O22" s="215"/>
      <c r="P22" s="214"/>
      <c r="Q22" s="215"/>
      <c r="R22" s="214"/>
      <c r="S22" s="215"/>
      <c r="T22" s="214">
        <v>5.5</v>
      </c>
      <c r="U22" s="215"/>
      <c r="V22" s="214"/>
      <c r="W22" s="215"/>
      <c r="X22" s="214"/>
      <c r="Y22" s="215"/>
      <c r="Z22" s="214"/>
      <c r="AA22" s="215"/>
      <c r="AB22" s="214"/>
      <c r="AC22" s="215"/>
      <c r="AD22" s="214"/>
      <c r="AE22" s="215"/>
      <c r="AF22" s="214"/>
      <c r="AG22" s="215"/>
      <c r="AH22" s="214"/>
      <c r="AI22" s="215"/>
      <c r="AJ22" s="214"/>
      <c r="AK22" s="215"/>
      <c r="AL22" s="214"/>
      <c r="AM22" s="215"/>
      <c r="AN22" s="214"/>
      <c r="AO22" s="215"/>
      <c r="AP22" s="214"/>
      <c r="AQ22" s="215"/>
      <c r="AR22" s="214"/>
      <c r="AS22" s="215"/>
      <c r="AT22" s="214"/>
      <c r="AU22" s="215"/>
      <c r="AV22" s="214"/>
      <c r="AW22" s="215"/>
      <c r="AX22" s="214"/>
      <c r="AY22" s="215"/>
      <c r="AZ22" s="214"/>
      <c r="BA22" s="215"/>
      <c r="BB22" s="214"/>
      <c r="BC22" s="215"/>
      <c r="BD22" s="214"/>
      <c r="BE22" s="215"/>
      <c r="BF22" s="214"/>
      <c r="BG22" s="215"/>
      <c r="BH22" s="214"/>
      <c r="BI22" s="215"/>
      <c r="BJ22" s="214"/>
      <c r="BK22" s="215"/>
      <c r="BL22" s="214"/>
      <c r="BM22" s="215"/>
      <c r="BN22" s="214"/>
      <c r="BO22" s="215"/>
      <c r="BP22" s="214"/>
      <c r="BQ22" s="215"/>
      <c r="BR22" s="193">
        <f t="shared" si="0"/>
        <v>0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79" customFormat="1">
      <c r="A23" s="234">
        <v>41407</v>
      </c>
      <c r="B23" s="280" t="s">
        <v>760</v>
      </c>
      <c r="C23" s="285" t="s">
        <v>727</v>
      </c>
      <c r="D23" s="214"/>
      <c r="E23" s="215"/>
      <c r="F23" s="214"/>
      <c r="G23" s="215">
        <v>341.6</v>
      </c>
      <c r="H23" s="214"/>
      <c r="I23" s="215"/>
      <c r="J23" s="214"/>
      <c r="K23" s="215"/>
      <c r="L23" s="214"/>
      <c r="M23" s="215"/>
      <c r="N23" s="214"/>
      <c r="O23" s="215"/>
      <c r="P23" s="214"/>
      <c r="Q23" s="215"/>
      <c r="R23" s="214"/>
      <c r="S23" s="215"/>
      <c r="T23" s="214"/>
      <c r="U23" s="215"/>
      <c r="V23" s="214"/>
      <c r="W23" s="215"/>
      <c r="X23" s="214"/>
      <c r="Y23" s="215"/>
      <c r="Z23" s="214"/>
      <c r="AA23" s="215"/>
      <c r="AB23" s="214"/>
      <c r="AC23" s="215"/>
      <c r="AD23" s="214">
        <v>341.6</v>
      </c>
      <c r="AE23" s="215"/>
      <c r="AF23" s="214"/>
      <c r="AG23" s="215"/>
      <c r="AH23" s="214"/>
      <c r="AI23" s="215"/>
      <c r="AJ23" s="214"/>
      <c r="AK23" s="215"/>
      <c r="AL23" s="214"/>
      <c r="AM23" s="215"/>
      <c r="AN23" s="214"/>
      <c r="AO23" s="215"/>
      <c r="AP23" s="214"/>
      <c r="AQ23" s="215"/>
      <c r="AR23" s="214"/>
      <c r="AS23" s="215"/>
      <c r="AT23" s="214"/>
      <c r="AU23" s="215"/>
      <c r="AV23" s="214"/>
      <c r="AW23" s="215"/>
      <c r="AX23" s="214"/>
      <c r="AY23" s="215"/>
      <c r="AZ23" s="214"/>
      <c r="BA23" s="215"/>
      <c r="BB23" s="214"/>
      <c r="BC23" s="215"/>
      <c r="BD23" s="214"/>
      <c r="BE23" s="215"/>
      <c r="BF23" s="214"/>
      <c r="BG23" s="215"/>
      <c r="BH23" s="214"/>
      <c r="BI23" s="215"/>
      <c r="BJ23" s="214"/>
      <c r="BK23" s="215"/>
      <c r="BL23" s="214"/>
      <c r="BM23" s="215"/>
      <c r="BN23" s="214"/>
      <c r="BO23" s="215"/>
      <c r="BP23" s="214"/>
      <c r="BQ23" s="215"/>
      <c r="BR23" s="193">
        <f t="shared" si="0"/>
        <v>0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79" customFormat="1">
      <c r="A24" s="234">
        <v>41407</v>
      </c>
      <c r="B24" s="280" t="s">
        <v>762</v>
      </c>
      <c r="C24" s="284" t="s">
        <v>728</v>
      </c>
      <c r="D24" s="214"/>
      <c r="E24" s="215"/>
      <c r="F24" s="214"/>
      <c r="G24" s="215">
        <v>407.3</v>
      </c>
      <c r="H24" s="214"/>
      <c r="I24" s="215"/>
      <c r="J24" s="214"/>
      <c r="K24" s="215"/>
      <c r="L24" s="214"/>
      <c r="M24" s="215"/>
      <c r="N24" s="214"/>
      <c r="O24" s="215"/>
      <c r="P24" s="214"/>
      <c r="Q24" s="215"/>
      <c r="R24" s="214"/>
      <c r="S24" s="215"/>
      <c r="T24" s="214"/>
      <c r="U24" s="215"/>
      <c r="V24" s="214"/>
      <c r="W24" s="215"/>
      <c r="X24" s="214"/>
      <c r="Y24" s="215"/>
      <c r="Z24" s="214"/>
      <c r="AA24" s="215"/>
      <c r="AB24" s="214"/>
      <c r="AC24" s="215"/>
      <c r="AD24" s="214"/>
      <c r="AE24" s="215"/>
      <c r="AF24" s="214"/>
      <c r="AG24" s="215"/>
      <c r="AH24" s="214"/>
      <c r="AI24" s="215"/>
      <c r="AJ24" s="214"/>
      <c r="AK24" s="215"/>
      <c r="AL24" s="214"/>
      <c r="AM24" s="215"/>
      <c r="AN24" s="214"/>
      <c r="AO24" s="215"/>
      <c r="AP24" s="214"/>
      <c r="AQ24" s="215"/>
      <c r="AR24" s="214"/>
      <c r="AS24" s="215"/>
      <c r="AT24" s="214"/>
      <c r="AU24" s="215"/>
      <c r="AV24" s="214"/>
      <c r="AW24" s="215"/>
      <c r="AX24" s="214"/>
      <c r="AY24" s="215"/>
      <c r="AZ24" s="214"/>
      <c r="BA24" s="215"/>
      <c r="BB24" s="214"/>
      <c r="BC24" s="215"/>
      <c r="BD24" s="214"/>
      <c r="BE24" s="215"/>
      <c r="BF24" s="214"/>
      <c r="BG24" s="215"/>
      <c r="BH24" s="214"/>
      <c r="BI24" s="215"/>
      <c r="BJ24" s="214"/>
      <c r="BK24" s="215"/>
      <c r="BL24" s="214"/>
      <c r="BM24" s="215"/>
      <c r="BN24" s="214"/>
      <c r="BO24" s="215"/>
      <c r="BP24" s="214">
        <v>407.3</v>
      </c>
      <c r="BQ24" s="215"/>
      <c r="BR24" s="193">
        <f t="shared" si="0"/>
        <v>0</v>
      </c>
    </row>
    <row r="25" spans="1:256" s="79" customFormat="1">
      <c r="A25" s="234">
        <v>41407</v>
      </c>
      <c r="B25" s="280" t="s">
        <v>762</v>
      </c>
      <c r="C25" s="285" t="s">
        <v>729</v>
      </c>
      <c r="D25" s="214"/>
      <c r="E25" s="215"/>
      <c r="F25" s="214"/>
      <c r="G25" s="215">
        <v>3368.41</v>
      </c>
      <c r="H25" s="214"/>
      <c r="I25" s="215"/>
      <c r="J25" s="214"/>
      <c r="K25" s="215"/>
      <c r="L25" s="214"/>
      <c r="M25" s="215"/>
      <c r="N25" s="214"/>
      <c r="O25" s="215"/>
      <c r="P25" s="214"/>
      <c r="Q25" s="215"/>
      <c r="R25" s="214"/>
      <c r="S25" s="215"/>
      <c r="T25" s="214"/>
      <c r="U25" s="215"/>
      <c r="V25" s="214"/>
      <c r="W25" s="215"/>
      <c r="X25" s="214"/>
      <c r="Y25" s="215"/>
      <c r="Z25" s="214"/>
      <c r="AA25" s="215"/>
      <c r="AB25" s="214"/>
      <c r="AC25" s="215"/>
      <c r="AD25" s="214"/>
      <c r="AE25" s="215"/>
      <c r="AF25" s="214"/>
      <c r="AG25" s="215"/>
      <c r="AH25" s="214"/>
      <c r="AI25" s="215"/>
      <c r="AJ25" s="214"/>
      <c r="AK25" s="215"/>
      <c r="AL25" s="214"/>
      <c r="AM25" s="215"/>
      <c r="AN25" s="214"/>
      <c r="AO25" s="215"/>
      <c r="AP25" s="214"/>
      <c r="AQ25" s="215"/>
      <c r="AR25" s="214"/>
      <c r="AS25" s="215"/>
      <c r="AT25" s="214"/>
      <c r="AU25" s="215"/>
      <c r="AV25" s="214"/>
      <c r="AW25" s="215"/>
      <c r="AX25" s="214"/>
      <c r="AY25" s="215"/>
      <c r="AZ25" s="214"/>
      <c r="BA25" s="215"/>
      <c r="BB25" s="214"/>
      <c r="BC25" s="215"/>
      <c r="BD25" s="214"/>
      <c r="BE25" s="215"/>
      <c r="BF25" s="214"/>
      <c r="BG25" s="215"/>
      <c r="BH25" s="214"/>
      <c r="BI25" s="215"/>
      <c r="BJ25" s="214"/>
      <c r="BK25" s="215"/>
      <c r="BL25" s="214"/>
      <c r="BM25" s="215"/>
      <c r="BN25" s="214"/>
      <c r="BO25" s="215"/>
      <c r="BP25" s="214">
        <v>3368.41</v>
      </c>
      <c r="BQ25" s="215"/>
      <c r="BR25" s="193">
        <f t="shared" si="0"/>
        <v>0</v>
      </c>
    </row>
    <row r="26" spans="1:256" s="79" customFormat="1">
      <c r="A26" s="234">
        <v>41424</v>
      </c>
      <c r="B26" s="257" t="s">
        <v>603</v>
      </c>
      <c r="C26" s="284" t="s">
        <v>730</v>
      </c>
      <c r="D26" s="214"/>
      <c r="E26" s="215"/>
      <c r="F26" s="214"/>
      <c r="G26" s="215">
        <v>2500</v>
      </c>
      <c r="H26" s="214"/>
      <c r="I26" s="215"/>
      <c r="J26" s="214"/>
      <c r="K26" s="215"/>
      <c r="L26" s="214"/>
      <c r="M26" s="215"/>
      <c r="N26" s="214"/>
      <c r="O26" s="215"/>
      <c r="P26" s="214"/>
      <c r="Q26" s="215"/>
      <c r="R26" s="214"/>
      <c r="S26" s="215"/>
      <c r="T26" s="214"/>
      <c r="U26" s="215"/>
      <c r="V26" s="214">
        <v>2500</v>
      </c>
      <c r="W26" s="215"/>
      <c r="X26" s="214"/>
      <c r="Y26" s="215"/>
      <c r="Z26" s="214"/>
      <c r="AA26" s="215"/>
      <c r="AB26" s="214"/>
      <c r="AC26" s="215"/>
      <c r="AD26" s="214"/>
      <c r="AE26" s="215"/>
      <c r="AF26" s="214"/>
      <c r="AG26" s="215"/>
      <c r="AH26" s="214"/>
      <c r="AI26" s="215"/>
      <c r="AJ26" s="214"/>
      <c r="AK26" s="215"/>
      <c r="AL26" s="214"/>
      <c r="AM26" s="215"/>
      <c r="AN26" s="214"/>
      <c r="AO26" s="215"/>
      <c r="AP26" s="214"/>
      <c r="AQ26" s="215"/>
      <c r="AR26" s="214"/>
      <c r="AS26" s="215"/>
      <c r="AT26" s="214"/>
      <c r="AU26" s="215"/>
      <c r="AV26" s="214"/>
      <c r="AW26" s="215"/>
      <c r="AX26" s="214"/>
      <c r="AY26" s="215"/>
      <c r="AZ26" s="214"/>
      <c r="BA26" s="215"/>
      <c r="BB26" s="214"/>
      <c r="BC26" s="215"/>
      <c r="BD26" s="214"/>
      <c r="BE26" s="215"/>
      <c r="BF26" s="214"/>
      <c r="BG26" s="215"/>
      <c r="BH26" s="214"/>
      <c r="BI26" s="215"/>
      <c r="BJ26" s="214"/>
      <c r="BK26" s="215"/>
      <c r="BL26" s="214"/>
      <c r="BM26" s="215"/>
      <c r="BN26" s="214"/>
      <c r="BO26" s="215"/>
      <c r="BP26" s="214"/>
      <c r="BQ26" s="215"/>
      <c r="BR26" s="193">
        <f t="shared" si="0"/>
        <v>0</v>
      </c>
      <c r="BS26" s="194"/>
      <c r="BT26" s="194"/>
    </row>
    <row r="27" spans="1:256" s="79" customFormat="1">
      <c r="A27" s="234">
        <v>41425</v>
      </c>
      <c r="B27" s="280" t="s">
        <v>763</v>
      </c>
      <c r="C27" s="285" t="s">
        <v>731</v>
      </c>
      <c r="D27" s="214"/>
      <c r="E27" s="215"/>
      <c r="F27" s="214">
        <v>14200</v>
      </c>
      <c r="G27" s="215"/>
      <c r="H27" s="214"/>
      <c r="I27" s="215"/>
      <c r="J27" s="214"/>
      <c r="K27" s="215"/>
      <c r="L27" s="214"/>
      <c r="M27" s="215"/>
      <c r="N27" s="214"/>
      <c r="O27" s="215"/>
      <c r="P27" s="214"/>
      <c r="Q27" s="215"/>
      <c r="R27" s="214"/>
      <c r="S27" s="215"/>
      <c r="T27" s="214"/>
      <c r="U27" s="215"/>
      <c r="V27" s="214"/>
      <c r="W27" s="215"/>
      <c r="X27" s="214"/>
      <c r="Y27" s="215"/>
      <c r="Z27" s="214"/>
      <c r="AA27" s="215"/>
      <c r="AB27" s="214"/>
      <c r="AC27" s="215"/>
      <c r="AD27" s="214"/>
      <c r="AE27" s="215"/>
      <c r="AF27" s="214"/>
      <c r="AG27" s="215">
        <v>14200</v>
      </c>
      <c r="AH27" s="214"/>
      <c r="AI27" s="215"/>
      <c r="AJ27" s="214"/>
      <c r="AK27" s="215"/>
      <c r="AL27" s="214"/>
      <c r="AM27" s="215"/>
      <c r="AN27" s="214"/>
      <c r="AO27" s="215"/>
      <c r="AP27" s="214"/>
      <c r="AQ27" s="215"/>
      <c r="AR27" s="214"/>
      <c r="AS27" s="215"/>
      <c r="AT27" s="214"/>
      <c r="AU27" s="215"/>
      <c r="AV27" s="214"/>
      <c r="AW27" s="215"/>
      <c r="AX27" s="214"/>
      <c r="AY27" s="215"/>
      <c r="AZ27" s="214"/>
      <c r="BA27" s="215"/>
      <c r="BB27" s="214"/>
      <c r="BC27" s="215"/>
      <c r="BD27" s="214"/>
      <c r="BE27" s="215"/>
      <c r="BF27" s="214"/>
      <c r="BG27" s="215"/>
      <c r="BH27" s="214"/>
      <c r="BI27" s="215"/>
      <c r="BJ27" s="214"/>
      <c r="BK27" s="215"/>
      <c r="BL27" s="214"/>
      <c r="BM27" s="215"/>
      <c r="BN27" s="214"/>
      <c r="BO27" s="215"/>
      <c r="BP27" s="214"/>
      <c r="BQ27" s="215"/>
      <c r="BR27" s="193">
        <f t="shared" si="0"/>
        <v>0</v>
      </c>
    </row>
    <row r="28" spans="1:256" s="79" customFormat="1">
      <c r="A28" s="234">
        <v>41428</v>
      </c>
      <c r="B28" s="262" t="s">
        <v>268</v>
      </c>
      <c r="C28" s="284" t="s">
        <v>732</v>
      </c>
      <c r="D28" s="214"/>
      <c r="E28" s="215"/>
      <c r="F28" s="214"/>
      <c r="G28" s="215">
        <v>18</v>
      </c>
      <c r="H28" s="214"/>
      <c r="I28" s="215"/>
      <c r="J28" s="214"/>
      <c r="K28" s="215"/>
      <c r="L28" s="214"/>
      <c r="M28" s="215"/>
      <c r="N28" s="214"/>
      <c r="O28" s="215"/>
      <c r="P28" s="214"/>
      <c r="Q28" s="215"/>
      <c r="R28" s="214"/>
      <c r="S28" s="215"/>
      <c r="T28" s="214">
        <v>18</v>
      </c>
      <c r="U28" s="215"/>
      <c r="V28" s="214"/>
      <c r="W28" s="215"/>
      <c r="X28" s="214"/>
      <c r="Y28" s="215"/>
      <c r="Z28" s="214"/>
      <c r="AA28" s="215"/>
      <c r="AB28" s="214"/>
      <c r="AC28" s="215"/>
      <c r="AD28" s="214"/>
      <c r="AE28" s="215"/>
      <c r="AF28" s="214"/>
      <c r="AG28" s="215"/>
      <c r="AH28" s="214"/>
      <c r="AI28" s="215"/>
      <c r="AJ28" s="214"/>
      <c r="AK28" s="215"/>
      <c r="AL28" s="214"/>
      <c r="AM28" s="215"/>
      <c r="AN28" s="214"/>
      <c r="AO28" s="215"/>
      <c r="AP28" s="214"/>
      <c r="AQ28" s="215"/>
      <c r="AR28" s="214"/>
      <c r="AS28" s="215"/>
      <c r="AT28" s="214"/>
      <c r="AU28" s="215"/>
      <c r="AV28" s="214"/>
      <c r="AW28" s="215"/>
      <c r="AX28" s="214"/>
      <c r="AY28" s="215"/>
      <c r="AZ28" s="214"/>
      <c r="BA28" s="215"/>
      <c r="BB28" s="214"/>
      <c r="BC28" s="215"/>
      <c r="BD28" s="214"/>
      <c r="BE28" s="215"/>
      <c r="BF28" s="214"/>
      <c r="BG28" s="215"/>
      <c r="BH28" s="214"/>
      <c r="BI28" s="215"/>
      <c r="BJ28" s="214"/>
      <c r="BK28" s="215"/>
      <c r="BL28" s="214"/>
      <c r="BM28" s="215"/>
      <c r="BN28" s="214"/>
      <c r="BO28" s="215"/>
      <c r="BP28" s="214"/>
      <c r="BQ28" s="215"/>
      <c r="BR28" s="193">
        <f t="shared" si="0"/>
        <v>0</v>
      </c>
    </row>
    <row r="29" spans="1:256" s="79" customFormat="1">
      <c r="A29" s="261">
        <v>41436</v>
      </c>
      <c r="B29" s="280" t="s">
        <v>764</v>
      </c>
      <c r="C29" s="285" t="s">
        <v>733</v>
      </c>
      <c r="D29" s="214"/>
      <c r="E29" s="215"/>
      <c r="F29" s="214"/>
      <c r="G29" s="215">
        <v>5336</v>
      </c>
      <c r="H29" s="214"/>
      <c r="I29" s="215"/>
      <c r="J29" s="214"/>
      <c r="K29" s="215"/>
      <c r="L29" s="214"/>
      <c r="M29" s="215"/>
      <c r="N29" s="214">
        <v>5336</v>
      </c>
      <c r="O29" s="215"/>
      <c r="P29" s="214"/>
      <c r="Q29" s="215"/>
      <c r="R29" s="214"/>
      <c r="S29" s="215"/>
      <c r="T29" s="214"/>
      <c r="U29" s="215"/>
      <c r="V29" s="214"/>
      <c r="W29" s="215"/>
      <c r="X29" s="214"/>
      <c r="Y29" s="215"/>
      <c r="Z29" s="214"/>
      <c r="AA29" s="215"/>
      <c r="AB29" s="214"/>
      <c r="AC29" s="215"/>
      <c r="AD29" s="214"/>
      <c r="AE29" s="215"/>
      <c r="AF29" s="214"/>
      <c r="AG29" s="215"/>
      <c r="AH29" s="214"/>
      <c r="AI29" s="215"/>
      <c r="AJ29" s="214"/>
      <c r="AK29" s="215"/>
      <c r="AL29" s="214"/>
      <c r="AM29" s="215"/>
      <c r="AN29" s="214"/>
      <c r="AO29" s="215"/>
      <c r="AP29" s="214"/>
      <c r="AQ29" s="215"/>
      <c r="AR29" s="214"/>
      <c r="AS29" s="215"/>
      <c r="AT29" s="214"/>
      <c r="AU29" s="215"/>
      <c r="AV29" s="214"/>
      <c r="AW29" s="215"/>
      <c r="AX29" s="214"/>
      <c r="AY29" s="215"/>
      <c r="AZ29" s="214"/>
      <c r="BA29" s="215"/>
      <c r="BB29" s="214"/>
      <c r="BC29" s="215"/>
      <c r="BD29" s="214"/>
      <c r="BE29" s="215"/>
      <c r="BF29" s="214"/>
      <c r="BG29" s="215"/>
      <c r="BH29" s="214"/>
      <c r="BI29" s="215"/>
      <c r="BJ29" s="214"/>
      <c r="BK29" s="215"/>
      <c r="BL29" s="214"/>
      <c r="BM29" s="215"/>
      <c r="BN29" s="214"/>
      <c r="BO29" s="215"/>
      <c r="BP29" s="214"/>
      <c r="BQ29" s="215"/>
      <c r="BR29" s="193">
        <f t="shared" si="0"/>
        <v>0</v>
      </c>
    </row>
    <row r="30" spans="1:256" s="79" customFormat="1">
      <c r="A30" s="234">
        <v>41455</v>
      </c>
      <c r="B30" s="280" t="s">
        <v>765</v>
      </c>
      <c r="C30" s="284" t="s">
        <v>734</v>
      </c>
      <c r="D30" s="214"/>
      <c r="E30" s="215"/>
      <c r="F30" s="214">
        <v>1600</v>
      </c>
      <c r="G30" s="215"/>
      <c r="H30" s="214"/>
      <c r="I30" s="215"/>
      <c r="J30" s="214"/>
      <c r="K30" s="215"/>
      <c r="L30" s="214"/>
      <c r="M30" s="215"/>
      <c r="N30" s="214"/>
      <c r="O30" s="215"/>
      <c r="P30" s="214"/>
      <c r="Q30" s="215"/>
      <c r="R30" s="214"/>
      <c r="S30" s="215"/>
      <c r="T30" s="214"/>
      <c r="U30" s="215"/>
      <c r="V30" s="214"/>
      <c r="W30" s="215"/>
      <c r="X30" s="214"/>
      <c r="Y30" s="215"/>
      <c r="Z30" s="214"/>
      <c r="AA30" s="215"/>
      <c r="AB30" s="214"/>
      <c r="AC30" s="215"/>
      <c r="AD30" s="214"/>
      <c r="AE30" s="215"/>
      <c r="AF30" s="214"/>
      <c r="AG30" s="215">
        <v>1600</v>
      </c>
      <c r="AH30" s="214"/>
      <c r="AI30" s="215"/>
      <c r="AJ30" s="214"/>
      <c r="AK30" s="215"/>
      <c r="AL30" s="214"/>
      <c r="AM30" s="215"/>
      <c r="AN30" s="214"/>
      <c r="AO30" s="215"/>
      <c r="AP30" s="214"/>
      <c r="AQ30" s="215"/>
      <c r="AR30" s="214"/>
      <c r="AS30" s="215"/>
      <c r="AT30" s="214"/>
      <c r="AU30" s="215"/>
      <c r="AV30" s="214"/>
      <c r="AW30" s="215"/>
      <c r="AX30" s="214"/>
      <c r="AY30" s="215"/>
      <c r="AZ30" s="214"/>
      <c r="BA30" s="215"/>
      <c r="BB30" s="214"/>
      <c r="BC30" s="215"/>
      <c r="BD30" s="214"/>
      <c r="BE30" s="215"/>
      <c r="BF30" s="214"/>
      <c r="BG30" s="215"/>
      <c r="BH30" s="214"/>
      <c r="BI30" s="215"/>
      <c r="BJ30" s="214"/>
      <c r="BK30" s="215"/>
      <c r="BL30" s="214"/>
      <c r="BM30" s="215"/>
      <c r="BN30" s="214"/>
      <c r="BO30" s="215"/>
      <c r="BP30" s="214"/>
      <c r="BQ30" s="215"/>
      <c r="BR30" s="193">
        <f t="shared" si="0"/>
        <v>0</v>
      </c>
    </row>
    <row r="31" spans="1:256" s="79" customFormat="1">
      <c r="A31" s="234">
        <v>41456</v>
      </c>
      <c r="B31" s="262" t="s">
        <v>268</v>
      </c>
      <c r="C31" s="285" t="s">
        <v>735</v>
      </c>
      <c r="D31" s="214"/>
      <c r="E31" s="215"/>
      <c r="F31" s="214"/>
      <c r="G31" s="215">
        <v>5.5</v>
      </c>
      <c r="H31" s="214"/>
      <c r="I31" s="215"/>
      <c r="J31" s="214"/>
      <c r="K31" s="215"/>
      <c r="L31" s="214"/>
      <c r="M31" s="215"/>
      <c r="N31" s="214"/>
      <c r="O31" s="215"/>
      <c r="P31" s="214"/>
      <c r="Q31" s="215"/>
      <c r="R31" s="214"/>
      <c r="S31" s="215"/>
      <c r="T31" s="214">
        <v>5.5</v>
      </c>
      <c r="U31" s="215"/>
      <c r="V31" s="214"/>
      <c r="W31" s="215"/>
      <c r="X31" s="214"/>
      <c r="Y31" s="215"/>
      <c r="Z31" s="214"/>
      <c r="AA31" s="215"/>
      <c r="AB31" s="214"/>
      <c r="AC31" s="215"/>
      <c r="AD31" s="214"/>
      <c r="AE31" s="215"/>
      <c r="AF31" s="214"/>
      <c r="AG31" s="215"/>
      <c r="AH31" s="214"/>
      <c r="AI31" s="215"/>
      <c r="AJ31" s="214"/>
      <c r="AK31" s="215"/>
      <c r="AL31" s="214"/>
      <c r="AM31" s="215"/>
      <c r="AN31" s="214"/>
      <c r="AO31" s="215"/>
      <c r="AP31" s="214"/>
      <c r="AQ31" s="215"/>
      <c r="AR31" s="214"/>
      <c r="AS31" s="215"/>
      <c r="AT31" s="214"/>
      <c r="AU31" s="215"/>
      <c r="AV31" s="214"/>
      <c r="AW31" s="215"/>
      <c r="AX31" s="214"/>
      <c r="AY31" s="215"/>
      <c r="AZ31" s="214"/>
      <c r="BA31" s="215"/>
      <c r="BB31" s="214"/>
      <c r="BC31" s="215"/>
      <c r="BD31" s="214"/>
      <c r="BE31" s="215"/>
      <c r="BF31" s="214"/>
      <c r="BG31" s="215"/>
      <c r="BH31" s="214"/>
      <c r="BI31" s="215"/>
      <c r="BJ31" s="214"/>
      <c r="BK31" s="215"/>
      <c r="BL31" s="214"/>
      <c r="BM31" s="215"/>
      <c r="BN31" s="214"/>
      <c r="BO31" s="215"/>
      <c r="BP31" s="214"/>
      <c r="BQ31" s="215"/>
      <c r="BR31" s="193">
        <f t="shared" si="0"/>
        <v>0</v>
      </c>
    </row>
    <row r="32" spans="1:256" s="79" customFormat="1">
      <c r="A32" s="234">
        <v>41456</v>
      </c>
      <c r="B32" s="257" t="s">
        <v>591</v>
      </c>
      <c r="C32" s="284" t="s">
        <v>736</v>
      </c>
      <c r="D32" s="214"/>
      <c r="E32" s="215"/>
      <c r="F32" s="214">
        <v>200</v>
      </c>
      <c r="G32" s="215"/>
      <c r="H32" s="214"/>
      <c r="I32" s="215"/>
      <c r="J32" s="214"/>
      <c r="K32" s="215"/>
      <c r="L32" s="214"/>
      <c r="M32" s="215"/>
      <c r="N32" s="214"/>
      <c r="O32" s="215"/>
      <c r="P32" s="214"/>
      <c r="Q32" s="215"/>
      <c r="R32" s="214"/>
      <c r="S32" s="215"/>
      <c r="T32" s="214"/>
      <c r="U32" s="215"/>
      <c r="V32" s="214"/>
      <c r="W32" s="215"/>
      <c r="X32" s="214"/>
      <c r="Y32" s="215"/>
      <c r="Z32" s="214"/>
      <c r="AA32" s="215"/>
      <c r="AB32" s="214"/>
      <c r="AC32" s="215"/>
      <c r="AD32" s="214"/>
      <c r="AE32" s="215"/>
      <c r="AF32" s="214"/>
      <c r="AG32" s="215">
        <v>200</v>
      </c>
      <c r="AH32" s="214"/>
      <c r="AI32" s="215"/>
      <c r="AJ32" s="214"/>
      <c r="AK32" s="215"/>
      <c r="AL32" s="214"/>
      <c r="AM32" s="215"/>
      <c r="AN32" s="214"/>
      <c r="AO32" s="215"/>
      <c r="AP32" s="214"/>
      <c r="AQ32" s="215"/>
      <c r="AR32" s="214"/>
      <c r="AS32" s="215"/>
      <c r="AT32" s="214"/>
      <c r="AU32" s="215"/>
      <c r="AV32" s="214"/>
      <c r="AW32" s="215"/>
      <c r="AX32" s="214"/>
      <c r="AY32" s="215"/>
      <c r="AZ32" s="214"/>
      <c r="BA32" s="215"/>
      <c r="BB32" s="214"/>
      <c r="BC32" s="215"/>
      <c r="BD32" s="214"/>
      <c r="BE32" s="215"/>
      <c r="BF32" s="214"/>
      <c r="BG32" s="215"/>
      <c r="BH32" s="214"/>
      <c r="BI32" s="215"/>
      <c r="BJ32" s="214"/>
      <c r="BK32" s="215"/>
      <c r="BL32" s="214"/>
      <c r="BM32" s="215"/>
      <c r="BN32" s="214"/>
      <c r="BO32" s="215"/>
      <c r="BP32" s="214"/>
      <c r="BQ32" s="215"/>
      <c r="BR32" s="193">
        <f t="shared" si="0"/>
        <v>0</v>
      </c>
    </row>
    <row r="33" spans="1:70" s="79" customFormat="1">
      <c r="A33" s="234">
        <v>41494</v>
      </c>
      <c r="B33" s="257" t="s">
        <v>591</v>
      </c>
      <c r="C33" s="285" t="s">
        <v>737</v>
      </c>
      <c r="D33" s="214"/>
      <c r="E33" s="215"/>
      <c r="F33" s="214">
        <v>200</v>
      </c>
      <c r="G33" s="215"/>
      <c r="H33" s="214"/>
      <c r="I33" s="215"/>
      <c r="J33" s="214"/>
      <c r="K33" s="215"/>
      <c r="L33" s="214"/>
      <c r="M33" s="215"/>
      <c r="N33" s="214"/>
      <c r="O33" s="215"/>
      <c r="P33" s="214"/>
      <c r="Q33" s="215"/>
      <c r="R33" s="214"/>
      <c r="S33" s="215"/>
      <c r="T33" s="214"/>
      <c r="U33" s="215"/>
      <c r="V33" s="214"/>
      <c r="W33" s="215"/>
      <c r="X33" s="214"/>
      <c r="Y33" s="215"/>
      <c r="Z33" s="214"/>
      <c r="AA33" s="215"/>
      <c r="AB33" s="214"/>
      <c r="AC33" s="215"/>
      <c r="AD33" s="214"/>
      <c r="AE33" s="215"/>
      <c r="AF33" s="214"/>
      <c r="AG33" s="215">
        <v>200</v>
      </c>
      <c r="AH33" s="214"/>
      <c r="AI33" s="215"/>
      <c r="AJ33" s="214"/>
      <c r="AK33" s="215"/>
      <c r="AL33" s="214"/>
      <c r="AM33" s="215"/>
      <c r="AN33" s="214"/>
      <c r="AO33" s="215"/>
      <c r="AP33" s="214"/>
      <c r="AQ33" s="215"/>
      <c r="AR33" s="214"/>
      <c r="AS33" s="215"/>
      <c r="AT33" s="214"/>
      <c r="AU33" s="215"/>
      <c r="AV33" s="214"/>
      <c r="AW33" s="215"/>
      <c r="AX33" s="214"/>
      <c r="AY33" s="215"/>
      <c r="AZ33" s="214"/>
      <c r="BA33" s="215"/>
      <c r="BB33" s="214"/>
      <c r="BC33" s="215"/>
      <c r="BD33" s="214"/>
      <c r="BE33" s="215"/>
      <c r="BF33" s="214"/>
      <c r="BG33" s="215"/>
      <c r="BH33" s="214"/>
      <c r="BI33" s="215"/>
      <c r="BJ33" s="214"/>
      <c r="BK33" s="215"/>
      <c r="BL33" s="214"/>
      <c r="BM33" s="215"/>
      <c r="BN33" s="214"/>
      <c r="BO33" s="215"/>
      <c r="BP33" s="214"/>
      <c r="BQ33" s="215"/>
      <c r="BR33" s="193">
        <f t="shared" si="0"/>
        <v>0</v>
      </c>
    </row>
    <row r="34" spans="1:70" s="79" customFormat="1">
      <c r="A34" s="261">
        <v>41548</v>
      </c>
      <c r="B34" s="257" t="s">
        <v>593</v>
      </c>
      <c r="C34" s="284" t="s">
        <v>738</v>
      </c>
      <c r="D34" s="214"/>
      <c r="E34" s="215"/>
      <c r="F34" s="214"/>
      <c r="G34" s="215">
        <v>1377</v>
      </c>
      <c r="H34" s="214"/>
      <c r="I34" s="215"/>
      <c r="J34" s="214"/>
      <c r="K34" s="215"/>
      <c r="L34" s="214"/>
      <c r="M34" s="215"/>
      <c r="N34" s="214"/>
      <c r="O34" s="215"/>
      <c r="P34" s="214"/>
      <c r="Q34" s="215"/>
      <c r="R34" s="214">
        <v>1377</v>
      </c>
      <c r="S34" s="215"/>
      <c r="T34" s="214"/>
      <c r="U34" s="215"/>
      <c r="V34" s="214"/>
      <c r="W34" s="215"/>
      <c r="X34" s="214"/>
      <c r="Y34" s="215"/>
      <c r="Z34" s="214"/>
      <c r="AA34" s="215"/>
      <c r="AB34" s="214"/>
      <c r="AC34" s="215"/>
      <c r="AD34" s="214"/>
      <c r="AE34" s="215"/>
      <c r="AF34" s="214"/>
      <c r="AG34" s="215"/>
      <c r="AH34" s="214"/>
      <c r="AI34" s="215"/>
      <c r="AJ34" s="214"/>
      <c r="AK34" s="215"/>
      <c r="AL34" s="214"/>
      <c r="AM34" s="215"/>
      <c r="AN34" s="214"/>
      <c r="AO34" s="215"/>
      <c r="AP34" s="214"/>
      <c r="AQ34" s="215"/>
      <c r="AR34" s="214"/>
      <c r="AS34" s="215"/>
      <c r="AT34" s="214"/>
      <c r="AU34" s="215"/>
      <c r="AV34" s="214"/>
      <c r="AW34" s="215"/>
      <c r="AX34" s="214"/>
      <c r="AY34" s="215"/>
      <c r="AZ34" s="214"/>
      <c r="BA34" s="215"/>
      <c r="BB34" s="214"/>
      <c r="BC34" s="215"/>
      <c r="BD34" s="214"/>
      <c r="BE34" s="215"/>
      <c r="BF34" s="214"/>
      <c r="BG34" s="215"/>
      <c r="BH34" s="214"/>
      <c r="BI34" s="215"/>
      <c r="BJ34" s="214"/>
      <c r="BK34" s="215"/>
      <c r="BL34" s="214"/>
      <c r="BM34" s="215"/>
      <c r="BN34" s="214"/>
      <c r="BO34" s="215"/>
      <c r="BP34" s="214"/>
      <c r="BQ34" s="215"/>
      <c r="BR34" s="193">
        <f t="shared" si="0"/>
        <v>0</v>
      </c>
    </row>
    <row r="35" spans="1:70" s="79" customFormat="1">
      <c r="A35" s="234">
        <v>41579</v>
      </c>
      <c r="B35" s="262" t="s">
        <v>268</v>
      </c>
      <c r="C35" s="285" t="s">
        <v>739</v>
      </c>
      <c r="D35" s="214"/>
      <c r="E35" s="215"/>
      <c r="F35" s="214"/>
      <c r="G35" s="215">
        <v>1</v>
      </c>
      <c r="H35" s="214"/>
      <c r="I35" s="215"/>
      <c r="J35" s="214"/>
      <c r="K35" s="215"/>
      <c r="L35" s="214"/>
      <c r="M35" s="215"/>
      <c r="N35" s="214"/>
      <c r="O35" s="215"/>
      <c r="P35" s="214"/>
      <c r="Q35" s="215"/>
      <c r="R35" s="214"/>
      <c r="S35" s="215"/>
      <c r="T35" s="214">
        <v>1</v>
      </c>
      <c r="U35" s="215"/>
      <c r="V35" s="214"/>
      <c r="W35" s="215"/>
      <c r="X35" s="214"/>
      <c r="Y35" s="215"/>
      <c r="Z35" s="214"/>
      <c r="AA35" s="215"/>
      <c r="AB35" s="214"/>
      <c r="AC35" s="215"/>
      <c r="AD35" s="214"/>
      <c r="AE35" s="215"/>
      <c r="AF35" s="214"/>
      <c r="AG35" s="215"/>
      <c r="AH35" s="214"/>
      <c r="AI35" s="215"/>
      <c r="AJ35" s="214"/>
      <c r="AK35" s="215"/>
      <c r="AL35" s="214"/>
      <c r="AM35" s="215"/>
      <c r="AN35" s="214"/>
      <c r="AO35" s="215"/>
      <c r="AP35" s="214"/>
      <c r="AQ35" s="215"/>
      <c r="AR35" s="214"/>
      <c r="AS35" s="215"/>
      <c r="AT35" s="214"/>
      <c r="AU35" s="215"/>
      <c r="AV35" s="214"/>
      <c r="AW35" s="215"/>
      <c r="AX35" s="214"/>
      <c r="AY35" s="215"/>
      <c r="AZ35" s="214"/>
      <c r="BA35" s="215"/>
      <c r="BB35" s="214"/>
      <c r="BC35" s="215"/>
      <c r="BD35" s="214"/>
      <c r="BE35" s="215"/>
      <c r="BF35" s="214"/>
      <c r="BG35" s="215"/>
      <c r="BH35" s="214"/>
      <c r="BI35" s="215"/>
      <c r="BJ35" s="214"/>
      <c r="BK35" s="215"/>
      <c r="BL35" s="214"/>
      <c r="BM35" s="215"/>
      <c r="BN35" s="214"/>
      <c r="BO35" s="215"/>
      <c r="BP35" s="214"/>
      <c r="BQ35" s="215"/>
      <c r="BR35" s="193">
        <f t="shared" si="0"/>
        <v>0</v>
      </c>
    </row>
    <row r="36" spans="1:70" s="79" customFormat="1">
      <c r="A36" s="234">
        <v>41605</v>
      </c>
      <c r="B36" s="280" t="s">
        <v>766</v>
      </c>
      <c r="C36" s="284" t="s">
        <v>740</v>
      </c>
      <c r="D36" s="214"/>
      <c r="E36" s="215"/>
      <c r="F36" s="214"/>
      <c r="G36" s="215">
        <v>1694</v>
      </c>
      <c r="H36" s="214"/>
      <c r="I36" s="215"/>
      <c r="J36" s="214"/>
      <c r="K36" s="215"/>
      <c r="L36" s="214">
        <v>1045</v>
      </c>
      <c r="M36" s="215"/>
      <c r="N36" s="214">
        <v>649</v>
      </c>
      <c r="O36" s="215"/>
      <c r="P36" s="214"/>
      <c r="Q36" s="215"/>
      <c r="R36" s="214"/>
      <c r="S36" s="215"/>
      <c r="T36" s="214"/>
      <c r="U36" s="215"/>
      <c r="V36" s="214"/>
      <c r="W36" s="215"/>
      <c r="X36" s="214"/>
      <c r="Y36" s="215"/>
      <c r="Z36" s="214"/>
      <c r="AA36" s="215"/>
      <c r="AB36" s="214"/>
      <c r="AC36" s="215"/>
      <c r="AD36" s="214"/>
      <c r="AE36" s="215"/>
      <c r="AF36" s="214"/>
      <c r="AG36" s="215"/>
      <c r="AH36" s="214"/>
      <c r="AI36" s="215"/>
      <c r="AJ36" s="214"/>
      <c r="AK36" s="215"/>
      <c r="AL36" s="214"/>
      <c r="AM36" s="215"/>
      <c r="AN36" s="214"/>
      <c r="AO36" s="215"/>
      <c r="AP36" s="214"/>
      <c r="AQ36" s="215"/>
      <c r="AR36" s="214"/>
      <c r="AS36" s="215"/>
      <c r="AT36" s="214"/>
      <c r="AU36" s="215"/>
      <c r="AV36" s="214"/>
      <c r="AW36" s="215"/>
      <c r="AX36" s="214"/>
      <c r="AY36" s="215"/>
      <c r="AZ36" s="214"/>
      <c r="BA36" s="215"/>
      <c r="BB36" s="214"/>
      <c r="BC36" s="215"/>
      <c r="BD36" s="214"/>
      <c r="BE36" s="215"/>
      <c r="BF36" s="214"/>
      <c r="BG36" s="215"/>
      <c r="BH36" s="214"/>
      <c r="BI36" s="215"/>
      <c r="BJ36" s="214"/>
      <c r="BK36" s="215"/>
      <c r="BL36" s="214"/>
      <c r="BM36" s="215"/>
      <c r="BN36" s="214"/>
      <c r="BO36" s="215"/>
      <c r="BP36" s="214"/>
      <c r="BQ36" s="215"/>
      <c r="BR36" s="193">
        <f t="shared" si="0"/>
        <v>0</v>
      </c>
    </row>
    <row r="37" spans="1:70" s="79" customFormat="1">
      <c r="A37" s="234">
        <v>41610</v>
      </c>
      <c r="B37" s="262" t="s">
        <v>268</v>
      </c>
      <c r="C37" s="285" t="s">
        <v>741</v>
      </c>
      <c r="D37" s="214"/>
      <c r="E37" s="215"/>
      <c r="F37" s="214"/>
      <c r="G37" s="215">
        <v>4.5</v>
      </c>
      <c r="H37" s="214"/>
      <c r="I37" s="215"/>
      <c r="J37" s="214"/>
      <c r="K37" s="215"/>
      <c r="L37" s="214"/>
      <c r="M37" s="215"/>
      <c r="N37" s="214"/>
      <c r="O37" s="215"/>
      <c r="P37" s="214"/>
      <c r="Q37" s="215"/>
      <c r="R37" s="214"/>
      <c r="S37" s="215"/>
      <c r="T37" s="214">
        <v>4.5</v>
      </c>
      <c r="U37" s="215"/>
      <c r="V37" s="214"/>
      <c r="W37" s="215"/>
      <c r="X37" s="214"/>
      <c r="Y37" s="215"/>
      <c r="Z37" s="214"/>
      <c r="AA37" s="215"/>
      <c r="AB37" s="214"/>
      <c r="AC37" s="215"/>
      <c r="AD37" s="214"/>
      <c r="AE37" s="215"/>
      <c r="AF37" s="214"/>
      <c r="AG37" s="215"/>
      <c r="AH37" s="214"/>
      <c r="AI37" s="215"/>
      <c r="AJ37" s="214"/>
      <c r="AK37" s="215"/>
      <c r="AL37" s="214"/>
      <c r="AM37" s="215"/>
      <c r="AN37" s="214"/>
      <c r="AO37" s="215"/>
      <c r="AP37" s="214"/>
      <c r="AQ37" s="215"/>
      <c r="AR37" s="214"/>
      <c r="AS37" s="215"/>
      <c r="AT37" s="214"/>
      <c r="AU37" s="215"/>
      <c r="AV37" s="214"/>
      <c r="AW37" s="215"/>
      <c r="AX37" s="214"/>
      <c r="AY37" s="215"/>
      <c r="AZ37" s="214"/>
      <c r="BA37" s="215"/>
      <c r="BB37" s="214"/>
      <c r="BC37" s="215"/>
      <c r="BD37" s="214"/>
      <c r="BE37" s="215"/>
      <c r="BF37" s="214"/>
      <c r="BG37" s="215"/>
      <c r="BH37" s="214"/>
      <c r="BI37" s="215"/>
      <c r="BJ37" s="214"/>
      <c r="BK37" s="215"/>
      <c r="BL37" s="214"/>
      <c r="BM37" s="215"/>
      <c r="BN37" s="214"/>
      <c r="BO37" s="215"/>
      <c r="BP37" s="214"/>
      <c r="BQ37" s="215"/>
      <c r="BR37" s="193">
        <f t="shared" si="0"/>
        <v>0</v>
      </c>
    </row>
    <row r="38" spans="1:70" s="79" customFormat="1">
      <c r="A38" s="234">
        <v>41621</v>
      </c>
      <c r="B38" s="280" t="s">
        <v>767</v>
      </c>
      <c r="C38" s="284" t="s">
        <v>742</v>
      </c>
      <c r="D38" s="214"/>
      <c r="E38" s="215"/>
      <c r="F38" s="214">
        <v>4448</v>
      </c>
      <c r="G38" s="215"/>
      <c r="H38" s="214"/>
      <c r="I38" s="215"/>
      <c r="J38" s="214"/>
      <c r="K38" s="215"/>
      <c r="L38" s="214"/>
      <c r="M38" s="215"/>
      <c r="N38" s="214"/>
      <c r="O38" s="215"/>
      <c r="P38" s="214"/>
      <c r="Q38" s="215"/>
      <c r="R38" s="214"/>
      <c r="S38" s="215"/>
      <c r="T38" s="214"/>
      <c r="U38" s="215"/>
      <c r="V38" s="214"/>
      <c r="W38" s="215"/>
      <c r="X38" s="214"/>
      <c r="Y38" s="215"/>
      <c r="Z38" s="214"/>
      <c r="AA38" s="215"/>
      <c r="AB38" s="214"/>
      <c r="AC38" s="215"/>
      <c r="AD38" s="214"/>
      <c r="AE38" s="215"/>
      <c r="AF38" s="214"/>
      <c r="AG38" s="215"/>
      <c r="AH38" s="214"/>
      <c r="AI38" s="215"/>
      <c r="AJ38" s="214"/>
      <c r="AK38" s="215"/>
      <c r="AL38" s="214"/>
      <c r="AM38" s="215"/>
      <c r="AN38" s="214"/>
      <c r="AO38" s="215">
        <v>4448</v>
      </c>
      <c r="AP38" s="214"/>
      <c r="AQ38" s="215"/>
      <c r="AR38" s="214"/>
      <c r="AS38" s="215"/>
      <c r="AT38" s="214"/>
      <c r="AU38" s="215"/>
      <c r="AV38" s="214"/>
      <c r="AW38" s="215"/>
      <c r="AX38" s="214"/>
      <c r="AY38" s="215"/>
      <c r="AZ38" s="214"/>
      <c r="BA38" s="215"/>
      <c r="BB38" s="214"/>
      <c r="BC38" s="215"/>
      <c r="BD38" s="214"/>
      <c r="BE38" s="215"/>
      <c r="BF38" s="214"/>
      <c r="BG38" s="215"/>
      <c r="BH38" s="214"/>
      <c r="BI38" s="215"/>
      <c r="BJ38" s="214"/>
      <c r="BK38" s="215"/>
      <c r="BL38" s="214"/>
      <c r="BM38" s="215"/>
      <c r="BN38" s="214"/>
      <c r="BO38" s="215"/>
      <c r="BP38" s="214"/>
      <c r="BQ38" s="215"/>
      <c r="BR38" s="193">
        <f t="shared" si="0"/>
        <v>0</v>
      </c>
    </row>
    <row r="39" spans="1:70" s="79" customFormat="1">
      <c r="A39" s="234">
        <v>41626</v>
      </c>
      <c r="B39" s="257" t="s">
        <v>610</v>
      </c>
      <c r="C39" s="284" t="s">
        <v>743</v>
      </c>
      <c r="D39" s="214"/>
      <c r="E39" s="215"/>
      <c r="F39" s="214"/>
      <c r="G39" s="215">
        <v>4000</v>
      </c>
      <c r="H39" s="214"/>
      <c r="I39" s="215"/>
      <c r="J39" s="214"/>
      <c r="K39" s="215"/>
      <c r="L39" s="214">
        <v>4000</v>
      </c>
      <c r="M39" s="215"/>
      <c r="N39" s="214"/>
      <c r="O39" s="215"/>
      <c r="P39" s="214"/>
      <c r="Q39" s="215"/>
      <c r="R39" s="214"/>
      <c r="S39" s="215"/>
      <c r="T39" s="214"/>
      <c r="U39" s="215"/>
      <c r="V39" s="214"/>
      <c r="W39" s="215"/>
      <c r="X39" s="214"/>
      <c r="Y39" s="215"/>
      <c r="Z39" s="214"/>
      <c r="AA39" s="215"/>
      <c r="AB39" s="214"/>
      <c r="AC39" s="215"/>
      <c r="AD39" s="214"/>
      <c r="AE39" s="215"/>
      <c r="AF39" s="214"/>
      <c r="AG39" s="215"/>
      <c r="AH39" s="214"/>
      <c r="AI39" s="215"/>
      <c r="AJ39" s="214"/>
      <c r="AK39" s="215"/>
      <c r="AL39" s="214"/>
      <c r="AM39" s="215"/>
      <c r="AN39" s="214"/>
      <c r="AO39" s="215"/>
      <c r="AP39" s="214"/>
      <c r="AQ39" s="215"/>
      <c r="AR39" s="214"/>
      <c r="AS39" s="215"/>
      <c r="AT39" s="214"/>
      <c r="AU39" s="215"/>
      <c r="AV39" s="214"/>
      <c r="AW39" s="215"/>
      <c r="AX39" s="214"/>
      <c r="AY39" s="215"/>
      <c r="AZ39" s="214"/>
      <c r="BA39" s="215"/>
      <c r="BB39" s="214"/>
      <c r="BC39" s="215"/>
      <c r="BD39" s="214"/>
      <c r="BE39" s="215"/>
      <c r="BF39" s="214"/>
      <c r="BG39" s="215"/>
      <c r="BH39" s="214"/>
      <c r="BI39" s="215"/>
      <c r="BJ39" s="214"/>
      <c r="BK39" s="215"/>
      <c r="BL39" s="214"/>
      <c r="BM39" s="215"/>
      <c r="BN39" s="214"/>
      <c r="BO39" s="215"/>
      <c r="BP39" s="214"/>
      <c r="BQ39" s="215"/>
      <c r="BR39" s="193">
        <f t="shared" si="0"/>
        <v>0</v>
      </c>
    </row>
    <row r="40" spans="1:70" s="79" customFormat="1">
      <c r="A40" s="234">
        <v>41631</v>
      </c>
      <c r="B40" s="280" t="s">
        <v>768</v>
      </c>
      <c r="C40" s="284" t="s">
        <v>744</v>
      </c>
      <c r="D40" s="214"/>
      <c r="E40" s="215"/>
      <c r="F40" s="214">
        <v>1484</v>
      </c>
      <c r="G40" s="215"/>
      <c r="H40" s="214"/>
      <c r="I40" s="215"/>
      <c r="J40" s="214"/>
      <c r="K40" s="215"/>
      <c r="L40" s="214"/>
      <c r="M40" s="215"/>
      <c r="N40" s="214"/>
      <c r="O40" s="215"/>
      <c r="P40" s="214"/>
      <c r="Q40" s="215"/>
      <c r="R40" s="214"/>
      <c r="S40" s="215"/>
      <c r="T40" s="214"/>
      <c r="U40" s="215"/>
      <c r="V40" s="214"/>
      <c r="W40" s="215"/>
      <c r="X40" s="214"/>
      <c r="Y40" s="215"/>
      <c r="Z40" s="214"/>
      <c r="AA40" s="215"/>
      <c r="AB40" s="214"/>
      <c r="AC40" s="215"/>
      <c r="AD40" s="214"/>
      <c r="AE40" s="215"/>
      <c r="AF40" s="214"/>
      <c r="AG40" s="215">
        <v>200</v>
      </c>
      <c r="AH40" s="214"/>
      <c r="AI40" s="215"/>
      <c r="AJ40" s="214"/>
      <c r="AK40" s="215"/>
      <c r="AL40" s="214"/>
      <c r="AM40" s="215"/>
      <c r="AN40" s="214"/>
      <c r="AO40" s="215"/>
      <c r="AP40" s="214"/>
      <c r="AQ40" s="215"/>
      <c r="AR40" s="214"/>
      <c r="AS40" s="215"/>
      <c r="AT40" s="214"/>
      <c r="AU40" s="215"/>
      <c r="AV40" s="214"/>
      <c r="AW40" s="215"/>
      <c r="AX40" s="214"/>
      <c r="AY40" s="215"/>
      <c r="AZ40" s="214"/>
      <c r="BA40" s="215"/>
      <c r="BB40" s="214"/>
      <c r="BC40" s="215"/>
      <c r="BD40" s="214"/>
      <c r="BE40" s="215"/>
      <c r="BF40" s="214"/>
      <c r="BG40" s="215"/>
      <c r="BH40" s="214"/>
      <c r="BI40" s="215"/>
      <c r="BJ40" s="214"/>
      <c r="BK40" s="215"/>
      <c r="BL40" s="214"/>
      <c r="BM40" s="215"/>
      <c r="BN40" s="214"/>
      <c r="BO40" s="215">
        <v>1284</v>
      </c>
      <c r="BP40" s="214"/>
      <c r="BQ40" s="215"/>
      <c r="BR40" s="193">
        <f t="shared" si="0"/>
        <v>0</v>
      </c>
    </row>
    <row r="41" spans="1:70" s="79" customFormat="1">
      <c r="A41" s="234">
        <v>41639</v>
      </c>
      <c r="B41" s="280" t="s">
        <v>769</v>
      </c>
      <c r="C41" s="284" t="s">
        <v>770</v>
      </c>
      <c r="D41" s="214"/>
      <c r="E41" s="215"/>
      <c r="F41" s="214">
        <v>5000</v>
      </c>
      <c r="G41" s="215"/>
      <c r="H41" s="214"/>
      <c r="I41" s="215"/>
      <c r="J41" s="214"/>
      <c r="K41" s="215"/>
      <c r="L41" s="214"/>
      <c r="M41" s="215"/>
      <c r="N41" s="214"/>
      <c r="O41" s="215"/>
      <c r="P41" s="214"/>
      <c r="Q41" s="215"/>
      <c r="R41" s="214"/>
      <c r="S41" s="215"/>
      <c r="T41" s="214"/>
      <c r="U41" s="215"/>
      <c r="V41" s="214"/>
      <c r="W41" s="215"/>
      <c r="X41" s="214"/>
      <c r="Y41" s="215"/>
      <c r="Z41" s="214"/>
      <c r="AA41" s="215"/>
      <c r="AB41" s="214"/>
      <c r="AC41" s="215"/>
      <c r="AD41" s="214"/>
      <c r="AE41" s="215"/>
      <c r="AF41" s="214"/>
      <c r="AG41" s="215">
        <v>5000</v>
      </c>
      <c r="AH41" s="274"/>
      <c r="AI41" s="215"/>
      <c r="AJ41" s="214"/>
      <c r="AK41" s="215"/>
      <c r="AL41" s="214"/>
      <c r="AM41" s="215"/>
      <c r="AN41" s="214"/>
      <c r="AO41" s="215"/>
      <c r="AP41" s="214"/>
      <c r="AQ41" s="215"/>
      <c r="AR41" s="214"/>
      <c r="AS41" s="215"/>
      <c r="AT41" s="214"/>
      <c r="AU41" s="215"/>
      <c r="AV41" s="214"/>
      <c r="AW41" s="215"/>
      <c r="AX41" s="214"/>
      <c r="AY41" s="215"/>
      <c r="AZ41" s="214"/>
      <c r="BA41" s="215"/>
      <c r="BB41" s="214"/>
      <c r="BC41" s="215"/>
      <c r="BD41" s="214"/>
      <c r="BE41" s="215"/>
      <c r="BF41" s="214"/>
      <c r="BG41" s="215"/>
      <c r="BH41" s="214"/>
      <c r="BI41" s="215"/>
      <c r="BJ41" s="214"/>
      <c r="BK41" s="215"/>
      <c r="BL41" s="214"/>
      <c r="BM41" s="215"/>
      <c r="BN41" s="214"/>
      <c r="BO41" s="215"/>
      <c r="BP41" s="214"/>
      <c r="BQ41" s="215"/>
      <c r="BR41" s="193">
        <f t="shared" si="0"/>
        <v>0</v>
      </c>
    </row>
    <row r="42" spans="1:70" s="79" customFormat="1">
      <c r="A42" s="234">
        <v>41639</v>
      </c>
      <c r="B42" s="280" t="s">
        <v>46</v>
      </c>
      <c r="C42" s="284" t="s">
        <v>771</v>
      </c>
      <c r="D42" s="214"/>
      <c r="E42" s="215"/>
      <c r="F42" s="214">
        <v>4.3600000000000003</v>
      </c>
      <c r="G42" s="215"/>
      <c r="H42" s="214"/>
      <c r="I42" s="215"/>
      <c r="J42" s="214"/>
      <c r="K42" s="215"/>
      <c r="L42" s="214"/>
      <c r="M42" s="215"/>
      <c r="N42" s="214"/>
      <c r="O42" s="215"/>
      <c r="P42" s="214"/>
      <c r="Q42" s="215"/>
      <c r="R42" s="214"/>
      <c r="S42" s="215"/>
      <c r="T42" s="214"/>
      <c r="U42" s="215"/>
      <c r="V42" s="214"/>
      <c r="W42" s="215"/>
      <c r="X42" s="214"/>
      <c r="Y42" s="215"/>
      <c r="Z42" s="214"/>
      <c r="AA42" s="215"/>
      <c r="AB42" s="214"/>
      <c r="AC42" s="215"/>
      <c r="AD42" s="214"/>
      <c r="AE42" s="215"/>
      <c r="AF42" s="214"/>
      <c r="AG42" s="215"/>
      <c r="AH42" s="214"/>
      <c r="AI42" s="215"/>
      <c r="AJ42" s="214"/>
      <c r="AK42" s="215">
        <v>4.3600000000000003</v>
      </c>
      <c r="AL42" s="214"/>
      <c r="AM42" s="215"/>
      <c r="AN42" s="214"/>
      <c r="AO42" s="215"/>
      <c r="AP42" s="214"/>
      <c r="AQ42" s="215"/>
      <c r="AR42" s="214"/>
      <c r="AS42" s="215"/>
      <c r="AT42" s="214"/>
      <c r="AU42" s="215"/>
      <c r="AV42" s="214"/>
      <c r="AW42" s="215"/>
      <c r="AX42" s="214"/>
      <c r="AY42" s="215"/>
      <c r="AZ42" s="214"/>
      <c r="BA42" s="215"/>
      <c r="BB42" s="214"/>
      <c r="BC42" s="215"/>
      <c r="BD42" s="214"/>
      <c r="BE42" s="215"/>
      <c r="BF42" s="214"/>
      <c r="BG42" s="215"/>
      <c r="BH42" s="214"/>
      <c r="BI42" s="215"/>
      <c r="BJ42" s="214"/>
      <c r="BK42" s="215"/>
      <c r="BL42" s="214"/>
      <c r="BM42" s="215"/>
      <c r="BN42" s="214"/>
      <c r="BO42" s="215"/>
      <c r="BP42" s="214"/>
      <c r="BQ42" s="215"/>
      <c r="BR42" s="193">
        <f t="shared" si="0"/>
        <v>0</v>
      </c>
    </row>
    <row r="43" spans="1:70" s="79" customFormat="1">
      <c r="A43" s="234">
        <v>41435</v>
      </c>
      <c r="B43" s="280" t="s">
        <v>772</v>
      </c>
      <c r="C43" s="284" t="s">
        <v>713</v>
      </c>
      <c r="D43" s="214"/>
      <c r="E43" s="215"/>
      <c r="F43" s="214"/>
      <c r="G43" s="215"/>
      <c r="H43" s="214">
        <v>5000</v>
      </c>
      <c r="I43" s="215"/>
      <c r="J43" s="214"/>
      <c r="K43" s="215"/>
      <c r="L43" s="214"/>
      <c r="M43" s="215"/>
      <c r="N43" s="214"/>
      <c r="O43" s="215"/>
      <c r="P43" s="214"/>
      <c r="Q43" s="215"/>
      <c r="R43" s="214"/>
      <c r="S43" s="215"/>
      <c r="T43" s="214"/>
      <c r="U43" s="215"/>
      <c r="V43" s="214"/>
      <c r="W43" s="215"/>
      <c r="X43" s="214"/>
      <c r="Y43" s="215"/>
      <c r="Z43" s="214"/>
      <c r="AA43" s="215"/>
      <c r="AB43" s="214"/>
      <c r="AC43" s="215"/>
      <c r="AD43" s="214"/>
      <c r="AE43" s="215"/>
      <c r="AF43" s="214"/>
      <c r="AG43" s="215"/>
      <c r="AH43" s="214"/>
      <c r="AI43" s="215">
        <v>5000</v>
      </c>
      <c r="AJ43" s="214"/>
      <c r="AK43" s="215"/>
      <c r="AL43" s="214"/>
      <c r="AM43" s="215"/>
      <c r="AN43" s="214"/>
      <c r="AO43" s="215"/>
      <c r="AP43" s="214"/>
      <c r="AQ43" s="215"/>
      <c r="AR43" s="214"/>
      <c r="AS43" s="215"/>
      <c r="AT43" s="214"/>
      <c r="AU43" s="215"/>
      <c r="AV43" s="214"/>
      <c r="AW43" s="215"/>
      <c r="AX43" s="214"/>
      <c r="AY43" s="215"/>
      <c r="AZ43" s="214"/>
      <c r="BA43" s="215"/>
      <c r="BB43" s="214"/>
      <c r="BC43" s="215"/>
      <c r="BD43" s="214"/>
      <c r="BE43" s="215"/>
      <c r="BF43" s="214"/>
      <c r="BG43" s="215"/>
      <c r="BH43" s="214"/>
      <c r="BI43" s="215"/>
      <c r="BJ43" s="214"/>
      <c r="BK43" s="215"/>
      <c r="BL43" s="214"/>
      <c r="BM43" s="215"/>
      <c r="BN43" s="214"/>
      <c r="BO43" s="215"/>
      <c r="BP43" s="214"/>
      <c r="BQ43" s="215"/>
      <c r="BR43" s="193">
        <f t="shared" si="0"/>
        <v>0</v>
      </c>
    </row>
    <row r="44" spans="1:70" s="79" customFormat="1">
      <c r="A44" s="234">
        <v>41639</v>
      </c>
      <c r="B44" s="280" t="s">
        <v>46</v>
      </c>
      <c r="C44" s="284" t="s">
        <v>714</v>
      </c>
      <c r="D44" s="214"/>
      <c r="E44" s="215"/>
      <c r="F44" s="214"/>
      <c r="G44" s="215"/>
      <c r="H44" s="214"/>
      <c r="I44" s="215"/>
      <c r="J44" s="214"/>
      <c r="K44" s="215"/>
      <c r="L44" s="214"/>
      <c r="M44" s="215"/>
      <c r="N44" s="214"/>
      <c r="O44" s="215"/>
      <c r="P44" s="214"/>
      <c r="Q44" s="215"/>
      <c r="R44" s="214"/>
      <c r="S44" s="215"/>
      <c r="T44" s="214"/>
      <c r="U44" s="215"/>
      <c r="V44" s="214"/>
      <c r="W44" s="215"/>
      <c r="X44" s="214"/>
      <c r="Y44" s="215"/>
      <c r="Z44" s="214"/>
      <c r="AA44" s="215"/>
      <c r="AB44" s="214"/>
      <c r="AC44" s="215"/>
      <c r="AD44" s="214"/>
      <c r="AE44" s="215"/>
      <c r="AF44" s="214"/>
      <c r="AG44" s="215"/>
      <c r="AH44" s="214">
        <v>26800.63</v>
      </c>
      <c r="AI44" s="215"/>
      <c r="AJ44" s="214"/>
      <c r="AK44" s="215">
        <v>26800.63</v>
      </c>
      <c r="AL44" s="214"/>
      <c r="AM44" s="215"/>
      <c r="AN44" s="214"/>
      <c r="AO44" s="215"/>
      <c r="AP44" s="214"/>
      <c r="AQ44" s="215"/>
      <c r="AR44" s="214"/>
      <c r="AS44" s="215"/>
      <c r="AT44" s="214"/>
      <c r="AU44" s="215"/>
      <c r="AV44" s="214"/>
      <c r="AW44" s="215"/>
      <c r="AX44" s="214"/>
      <c r="AY44" s="215"/>
      <c r="AZ44" s="214"/>
      <c r="BA44" s="215"/>
      <c r="BB44" s="214"/>
      <c r="BC44" s="215"/>
      <c r="BD44" s="214"/>
      <c r="BE44" s="215"/>
      <c r="BF44" s="214"/>
      <c r="BG44" s="215"/>
      <c r="BH44" s="214"/>
      <c r="BI44" s="215"/>
      <c r="BJ44" s="214"/>
      <c r="BK44" s="215"/>
      <c r="BL44" s="214"/>
      <c r="BM44" s="215"/>
      <c r="BN44" s="214"/>
      <c r="BO44" s="215"/>
      <c r="BP44" s="214"/>
      <c r="BQ44" s="215"/>
      <c r="BR44" s="193">
        <f t="shared" si="0"/>
        <v>0</v>
      </c>
    </row>
    <row r="45" spans="1:70" s="79" customFormat="1">
      <c r="A45" s="234">
        <v>41639</v>
      </c>
      <c r="B45" s="280" t="s">
        <v>783</v>
      </c>
      <c r="C45" s="284" t="s">
        <v>775</v>
      </c>
      <c r="D45" s="214"/>
      <c r="E45" s="215"/>
      <c r="F45" s="214"/>
      <c r="G45" s="215"/>
      <c r="H45" s="214"/>
      <c r="I45" s="215"/>
      <c r="J45" s="214"/>
      <c r="K45" s="215"/>
      <c r="L45" s="214">
        <v>500</v>
      </c>
      <c r="M45" s="215"/>
      <c r="N45" s="214"/>
      <c r="O45" s="215"/>
      <c r="P45" s="214"/>
      <c r="Q45" s="215"/>
      <c r="R45" s="214"/>
      <c r="S45" s="215"/>
      <c r="T45" s="214"/>
      <c r="U45" s="215"/>
      <c r="V45" s="214"/>
      <c r="W45" s="215"/>
      <c r="X45" s="214"/>
      <c r="Y45" s="215"/>
      <c r="Z45" s="214"/>
      <c r="AA45" s="215"/>
      <c r="AB45" s="214"/>
      <c r="AC45" s="215"/>
      <c r="AD45" s="214"/>
      <c r="AE45" s="215"/>
      <c r="AF45" s="214"/>
      <c r="AG45" s="215"/>
      <c r="AH45" s="214"/>
      <c r="AI45" s="215"/>
      <c r="AJ45" s="214"/>
      <c r="AK45" s="215"/>
      <c r="AL45" s="214"/>
      <c r="AM45" s="215"/>
      <c r="AN45" s="214"/>
      <c r="AO45" s="215"/>
      <c r="AP45" s="214"/>
      <c r="AQ45" s="215"/>
      <c r="AR45" s="214"/>
      <c r="AS45" s="215"/>
      <c r="AT45" s="214"/>
      <c r="AU45" s="215"/>
      <c r="AV45" s="214"/>
      <c r="AW45" s="215"/>
      <c r="AX45" s="214"/>
      <c r="AY45" s="215"/>
      <c r="AZ45" s="214"/>
      <c r="BA45" s="215"/>
      <c r="BB45" s="214"/>
      <c r="BC45" s="215"/>
      <c r="BD45" s="214"/>
      <c r="BE45" s="215"/>
      <c r="BF45" s="214"/>
      <c r="BG45" s="215"/>
      <c r="BH45" s="214"/>
      <c r="BI45" s="215"/>
      <c r="BJ45" s="214"/>
      <c r="BK45" s="215"/>
      <c r="BL45" s="214"/>
      <c r="BM45" s="215"/>
      <c r="BN45" s="214"/>
      <c r="BO45" s="215">
        <v>500</v>
      </c>
      <c r="BP45" s="214"/>
      <c r="BQ45" s="215"/>
      <c r="BR45" s="193">
        <f t="shared" si="0"/>
        <v>0</v>
      </c>
    </row>
    <row r="46" spans="1:70" s="79" customFormat="1">
      <c r="A46" s="234">
        <v>41639</v>
      </c>
      <c r="B46" s="280" t="s">
        <v>776</v>
      </c>
      <c r="C46" s="284" t="s">
        <v>777</v>
      </c>
      <c r="D46" s="214"/>
      <c r="E46" s="215"/>
      <c r="F46" s="214"/>
      <c r="G46" s="215"/>
      <c r="H46" s="214"/>
      <c r="I46" s="215"/>
      <c r="J46" s="214"/>
      <c r="K46" s="215"/>
      <c r="L46" s="214"/>
      <c r="M46" s="215"/>
      <c r="N46" s="214"/>
      <c r="O46" s="215"/>
      <c r="P46" s="214"/>
      <c r="Q46" s="215"/>
      <c r="R46" s="214"/>
      <c r="S46" s="215"/>
      <c r="T46" s="214">
        <v>1294</v>
      </c>
      <c r="U46" s="215"/>
      <c r="V46" s="214"/>
      <c r="W46" s="215"/>
      <c r="X46" s="214"/>
      <c r="Y46" s="215"/>
      <c r="Z46" s="214"/>
      <c r="AA46" s="215"/>
      <c r="AB46" s="214"/>
      <c r="AC46" s="215"/>
      <c r="AD46" s="214"/>
      <c r="AE46" s="215"/>
      <c r="AF46" s="214"/>
      <c r="AG46" s="215"/>
      <c r="AH46" s="214"/>
      <c r="AI46" s="215"/>
      <c r="AJ46" s="214"/>
      <c r="AK46" s="215"/>
      <c r="AL46" s="214"/>
      <c r="AM46" s="215"/>
      <c r="AN46" s="214"/>
      <c r="AO46" s="215"/>
      <c r="AP46" s="214"/>
      <c r="AQ46" s="215"/>
      <c r="AR46" s="214"/>
      <c r="AS46" s="215"/>
      <c r="AT46" s="214"/>
      <c r="AU46" s="215"/>
      <c r="AV46" s="214"/>
      <c r="AW46" s="215"/>
      <c r="AX46" s="214"/>
      <c r="AY46" s="215"/>
      <c r="AZ46" s="214"/>
      <c r="BA46" s="215"/>
      <c r="BB46" s="214"/>
      <c r="BC46" s="215"/>
      <c r="BD46" s="214"/>
      <c r="BE46" s="215"/>
      <c r="BF46" s="214"/>
      <c r="BG46" s="215"/>
      <c r="BH46" s="214"/>
      <c r="BI46" s="215"/>
      <c r="BJ46" s="214"/>
      <c r="BK46" s="215"/>
      <c r="BL46" s="214"/>
      <c r="BM46" s="215"/>
      <c r="BN46" s="214"/>
      <c r="BO46" s="215">
        <v>1294</v>
      </c>
      <c r="BP46" s="214"/>
      <c r="BQ46" s="215"/>
      <c r="BR46" s="193">
        <f t="shared" si="0"/>
        <v>0</v>
      </c>
    </row>
    <row r="47" spans="1:70" s="79" customFormat="1">
      <c r="A47" s="234">
        <v>41639</v>
      </c>
      <c r="B47" s="273" t="s">
        <v>636</v>
      </c>
      <c r="C47" s="284" t="s">
        <v>778</v>
      </c>
      <c r="D47" s="214"/>
      <c r="E47" s="215"/>
      <c r="F47" s="214"/>
      <c r="G47" s="215"/>
      <c r="H47" s="214"/>
      <c r="I47" s="215"/>
      <c r="J47" s="214"/>
      <c r="K47" s="215"/>
      <c r="L47" s="214"/>
      <c r="M47" s="215"/>
      <c r="N47" s="214"/>
      <c r="O47" s="215"/>
      <c r="P47" s="214"/>
      <c r="Q47" s="215"/>
      <c r="R47" s="214"/>
      <c r="S47" s="215"/>
      <c r="T47" s="214"/>
      <c r="U47" s="215"/>
      <c r="V47" s="214"/>
      <c r="W47" s="215"/>
      <c r="X47" s="214">
        <v>235</v>
      </c>
      <c r="Y47" s="215"/>
      <c r="Z47" s="214"/>
      <c r="AA47" s="215"/>
      <c r="AB47" s="214"/>
      <c r="AC47" s="215"/>
      <c r="AD47" s="214"/>
      <c r="AE47" s="215"/>
      <c r="AF47" s="214"/>
      <c r="AG47" s="215"/>
      <c r="AH47" s="214"/>
      <c r="AI47" s="215"/>
      <c r="AJ47" s="214"/>
      <c r="AK47" s="215"/>
      <c r="AL47" s="214"/>
      <c r="AM47" s="215"/>
      <c r="AN47" s="214"/>
      <c r="AO47" s="215"/>
      <c r="AP47" s="214"/>
      <c r="AQ47" s="215"/>
      <c r="AR47" s="214"/>
      <c r="AS47" s="215"/>
      <c r="AT47" s="214"/>
      <c r="AU47" s="215"/>
      <c r="AV47" s="214"/>
      <c r="AW47" s="215"/>
      <c r="AX47" s="214"/>
      <c r="AY47" s="215"/>
      <c r="AZ47" s="214"/>
      <c r="BA47" s="215"/>
      <c r="BB47" s="214"/>
      <c r="BC47" s="215"/>
      <c r="BD47" s="214"/>
      <c r="BE47" s="215"/>
      <c r="BF47" s="214"/>
      <c r="BG47" s="215"/>
      <c r="BH47" s="214"/>
      <c r="BI47" s="215"/>
      <c r="BJ47" s="214"/>
      <c r="BK47" s="215"/>
      <c r="BL47" s="214"/>
      <c r="BM47" s="215"/>
      <c r="BN47" s="214"/>
      <c r="BO47" s="215">
        <v>235</v>
      </c>
      <c r="BP47" s="214"/>
      <c r="BQ47" s="215"/>
      <c r="BR47" s="193">
        <f t="shared" si="0"/>
        <v>0</v>
      </c>
    </row>
    <row r="48" spans="1:70" s="79" customFormat="1">
      <c r="A48" s="234">
        <v>41639</v>
      </c>
      <c r="B48" s="280" t="s">
        <v>780</v>
      </c>
      <c r="C48" s="284" t="s">
        <v>779</v>
      </c>
      <c r="D48" s="214"/>
      <c r="E48" s="215"/>
      <c r="F48" s="214"/>
      <c r="G48" s="215"/>
      <c r="H48" s="214"/>
      <c r="I48" s="215"/>
      <c r="J48" s="214"/>
      <c r="K48" s="215"/>
      <c r="L48" s="214"/>
      <c r="M48" s="215"/>
      <c r="N48" s="214"/>
      <c r="O48" s="215"/>
      <c r="P48" s="214"/>
      <c r="Q48" s="215"/>
      <c r="R48" s="214"/>
      <c r="S48" s="215"/>
      <c r="T48" s="214"/>
      <c r="U48" s="215"/>
      <c r="V48" s="214"/>
      <c r="W48" s="215"/>
      <c r="X48" s="214"/>
      <c r="Y48" s="215"/>
      <c r="Z48" s="214"/>
      <c r="AA48" s="215"/>
      <c r="AB48" s="214"/>
      <c r="AC48" s="215"/>
      <c r="AD48" s="214"/>
      <c r="AE48" s="215"/>
      <c r="AF48" s="214"/>
      <c r="AG48" s="215">
        <v>1800</v>
      </c>
      <c r="AH48" s="214"/>
      <c r="AI48" s="215"/>
      <c r="AJ48" s="214"/>
      <c r="AK48" s="215"/>
      <c r="AL48" s="214"/>
      <c r="AM48" s="215"/>
      <c r="AN48" s="214"/>
      <c r="AO48" s="215"/>
      <c r="AP48" s="214"/>
      <c r="AQ48" s="215"/>
      <c r="AR48" s="214"/>
      <c r="AS48" s="215"/>
      <c r="AT48" s="214"/>
      <c r="AU48" s="215"/>
      <c r="AV48" s="214"/>
      <c r="AW48" s="215"/>
      <c r="AX48" s="214"/>
      <c r="AY48" s="215"/>
      <c r="AZ48" s="214"/>
      <c r="BA48" s="215"/>
      <c r="BB48" s="214"/>
      <c r="BC48" s="215"/>
      <c r="BD48" s="214"/>
      <c r="BE48" s="215"/>
      <c r="BF48" s="214"/>
      <c r="BG48" s="215"/>
      <c r="BH48" s="214"/>
      <c r="BI48" s="215"/>
      <c r="BJ48" s="214"/>
      <c r="BK48" s="215"/>
      <c r="BL48" s="214"/>
      <c r="BM48" s="215"/>
      <c r="BN48" s="214"/>
      <c r="BO48" s="215"/>
      <c r="BP48" s="214">
        <v>1800</v>
      </c>
      <c r="BQ48" s="215"/>
      <c r="BR48" s="193">
        <f t="shared" si="0"/>
        <v>0</v>
      </c>
    </row>
    <row r="49" spans="1:71" s="79" customFormat="1">
      <c r="A49" s="234"/>
      <c r="B49" s="257"/>
      <c r="C49" s="211"/>
      <c r="D49" s="214"/>
      <c r="E49" s="215"/>
      <c r="F49" s="214"/>
      <c r="G49" s="215"/>
      <c r="H49" s="214"/>
      <c r="I49" s="215"/>
      <c r="J49" s="214"/>
      <c r="K49" s="215"/>
      <c r="L49" s="214"/>
      <c r="M49" s="215"/>
      <c r="N49" s="214"/>
      <c r="O49" s="215"/>
      <c r="P49" s="214"/>
      <c r="Q49" s="215"/>
      <c r="R49" s="214"/>
      <c r="S49" s="215"/>
      <c r="T49" s="214"/>
      <c r="U49" s="215"/>
      <c r="V49" s="214"/>
      <c r="W49" s="215"/>
      <c r="X49" s="214"/>
      <c r="Y49" s="215"/>
      <c r="Z49" s="214"/>
      <c r="AA49" s="215"/>
      <c r="AB49" s="214"/>
      <c r="AC49" s="215"/>
      <c r="AD49" s="214"/>
      <c r="AE49" s="215"/>
      <c r="AF49" s="214"/>
      <c r="AG49" s="215"/>
      <c r="AH49" s="214"/>
      <c r="AI49" s="215"/>
      <c r="AJ49" s="214"/>
      <c r="AK49" s="215"/>
      <c r="AL49" s="214"/>
      <c r="AM49" s="215"/>
      <c r="AN49" s="214"/>
      <c r="AO49" s="215"/>
      <c r="AP49" s="214"/>
      <c r="AQ49" s="215"/>
      <c r="AR49" s="214"/>
      <c r="AS49" s="215"/>
      <c r="AT49" s="214"/>
      <c r="AU49" s="215"/>
      <c r="AV49" s="214"/>
      <c r="AW49" s="215"/>
      <c r="AX49" s="214"/>
      <c r="AY49" s="215"/>
      <c r="AZ49" s="214"/>
      <c r="BA49" s="215"/>
      <c r="BB49" s="214"/>
      <c r="BC49" s="215"/>
      <c r="BD49" s="214"/>
      <c r="BE49" s="215"/>
      <c r="BF49" s="214"/>
      <c r="BG49" s="215"/>
      <c r="BH49" s="214"/>
      <c r="BI49" s="215"/>
      <c r="BJ49" s="214"/>
      <c r="BK49" s="215"/>
      <c r="BL49" s="214"/>
      <c r="BM49" s="215"/>
      <c r="BN49" s="214"/>
      <c r="BO49" s="215"/>
      <c r="BP49" s="214"/>
      <c r="BQ49" s="215"/>
      <c r="BR49" s="193">
        <f t="shared" si="0"/>
        <v>0</v>
      </c>
    </row>
    <row r="50" spans="1:71" s="79" customFormat="1">
      <c r="A50" s="234"/>
      <c r="B50" s="188"/>
      <c r="C50" s="211"/>
      <c r="D50" s="214"/>
      <c r="E50" s="215"/>
      <c r="F50" s="214"/>
      <c r="G50" s="215"/>
      <c r="H50" s="214"/>
      <c r="I50" s="215"/>
      <c r="J50" s="214"/>
      <c r="K50" s="215"/>
      <c r="L50" s="214"/>
      <c r="M50" s="215"/>
      <c r="N50" s="214"/>
      <c r="O50" s="215"/>
      <c r="P50" s="214"/>
      <c r="Q50" s="215"/>
      <c r="R50" s="214"/>
      <c r="S50" s="215"/>
      <c r="T50" s="214"/>
      <c r="U50" s="215"/>
      <c r="V50" s="214"/>
      <c r="W50" s="215"/>
      <c r="X50" s="214"/>
      <c r="Y50" s="215"/>
      <c r="Z50" s="214"/>
      <c r="AA50" s="215"/>
      <c r="AB50" s="214"/>
      <c r="AC50" s="215"/>
      <c r="AD50" s="214"/>
      <c r="AE50" s="215"/>
      <c r="AF50" s="214"/>
      <c r="AG50" s="215"/>
      <c r="AH50" s="214"/>
      <c r="AI50" s="215"/>
      <c r="AJ50" s="214"/>
      <c r="AK50" s="215"/>
      <c r="AL50" s="214"/>
      <c r="AM50" s="215"/>
      <c r="AN50" s="214"/>
      <c r="AO50" s="215"/>
      <c r="AP50" s="214"/>
      <c r="AQ50" s="215"/>
      <c r="AR50" s="214"/>
      <c r="AS50" s="215"/>
      <c r="AT50" s="214"/>
      <c r="AU50" s="215"/>
      <c r="AV50" s="214"/>
      <c r="AW50" s="215"/>
      <c r="AX50" s="214"/>
      <c r="AY50" s="215"/>
      <c r="AZ50" s="214"/>
      <c r="BA50" s="215"/>
      <c r="BB50" s="214"/>
      <c r="BC50" s="215"/>
      <c r="BD50" s="214"/>
      <c r="BE50" s="215"/>
      <c r="BF50" s="214"/>
      <c r="BG50" s="215"/>
      <c r="BH50" s="214"/>
      <c r="BI50" s="215"/>
      <c r="BJ50" s="214"/>
      <c r="BK50" s="215"/>
      <c r="BL50" s="214"/>
      <c r="BM50" s="215"/>
      <c r="BN50" s="214"/>
      <c r="BO50" s="215"/>
      <c r="BP50" s="214"/>
      <c r="BQ50" s="215"/>
      <c r="BR50" s="193">
        <f t="shared" si="0"/>
        <v>0</v>
      </c>
    </row>
    <row r="51" spans="1:71" s="79" customFormat="1">
      <c r="A51" s="234"/>
      <c r="B51" s="188"/>
      <c r="C51" s="211"/>
      <c r="D51" s="214"/>
      <c r="E51" s="215"/>
      <c r="F51" s="214"/>
      <c r="G51" s="215"/>
      <c r="H51" s="214"/>
      <c r="I51" s="215"/>
      <c r="J51" s="214"/>
      <c r="K51" s="215"/>
      <c r="L51" s="214"/>
      <c r="M51" s="215"/>
      <c r="N51" s="214"/>
      <c r="O51" s="215"/>
      <c r="P51" s="214"/>
      <c r="Q51" s="215"/>
      <c r="R51" s="214"/>
      <c r="S51" s="215"/>
      <c r="T51" s="214"/>
      <c r="U51" s="215"/>
      <c r="V51" s="214"/>
      <c r="W51" s="215"/>
      <c r="X51" s="214"/>
      <c r="Y51" s="215"/>
      <c r="Z51" s="214"/>
      <c r="AA51" s="215"/>
      <c r="AB51" s="214"/>
      <c r="AC51" s="215"/>
      <c r="AD51" s="214"/>
      <c r="AE51" s="215"/>
      <c r="AF51" s="214"/>
      <c r="AG51" s="215"/>
      <c r="AH51" s="214"/>
      <c r="AI51" s="215"/>
      <c r="AJ51" s="214"/>
      <c r="AK51" s="215"/>
      <c r="AL51" s="214"/>
      <c r="AM51" s="215"/>
      <c r="AN51" s="214"/>
      <c r="AO51" s="215"/>
      <c r="AP51" s="214"/>
      <c r="AQ51" s="215"/>
      <c r="AR51" s="214"/>
      <c r="AS51" s="215"/>
      <c r="AT51" s="214"/>
      <c r="AU51" s="215"/>
      <c r="AV51" s="214"/>
      <c r="AW51" s="215"/>
      <c r="AX51" s="214"/>
      <c r="AY51" s="215"/>
      <c r="AZ51" s="214"/>
      <c r="BA51" s="215"/>
      <c r="BB51" s="214"/>
      <c r="BC51" s="215"/>
      <c r="BD51" s="214"/>
      <c r="BE51" s="215"/>
      <c r="BF51" s="214"/>
      <c r="BG51" s="215"/>
      <c r="BH51" s="214"/>
      <c r="BI51" s="215"/>
      <c r="BJ51" s="214"/>
      <c r="BK51" s="215"/>
      <c r="BL51" s="214"/>
      <c r="BM51" s="215"/>
      <c r="BN51" s="214"/>
      <c r="BO51" s="215"/>
      <c r="BP51" s="214"/>
      <c r="BQ51" s="215"/>
      <c r="BR51" s="193">
        <f t="shared" si="0"/>
        <v>0</v>
      </c>
    </row>
    <row r="52" spans="1:71" s="79" customFormat="1">
      <c r="A52" s="234"/>
      <c r="B52" s="188"/>
      <c r="C52" s="211"/>
      <c r="D52" s="214"/>
      <c r="E52" s="215"/>
      <c r="F52" s="214"/>
      <c r="G52" s="215"/>
      <c r="H52" s="214"/>
      <c r="I52" s="215"/>
      <c r="J52" s="214"/>
      <c r="K52" s="215"/>
      <c r="L52" s="214"/>
      <c r="M52" s="215"/>
      <c r="N52" s="214"/>
      <c r="O52" s="215"/>
      <c r="P52" s="214"/>
      <c r="Q52" s="215"/>
      <c r="R52" s="214"/>
      <c r="S52" s="215"/>
      <c r="T52" s="214"/>
      <c r="U52" s="215"/>
      <c r="V52" s="214"/>
      <c r="W52" s="215"/>
      <c r="X52" s="214"/>
      <c r="Y52" s="215"/>
      <c r="Z52" s="214"/>
      <c r="AA52" s="215"/>
      <c r="AB52" s="214"/>
      <c r="AC52" s="215"/>
      <c r="AD52" s="214"/>
      <c r="AE52" s="215"/>
      <c r="AF52" s="214"/>
      <c r="AG52" s="215"/>
      <c r="AH52" s="214"/>
      <c r="AI52" s="215"/>
      <c r="AJ52" s="214"/>
      <c r="AK52" s="215"/>
      <c r="AL52" s="214"/>
      <c r="AM52" s="215"/>
      <c r="AN52" s="214"/>
      <c r="AO52" s="215"/>
      <c r="AP52" s="214"/>
      <c r="AQ52" s="215"/>
      <c r="AR52" s="214"/>
      <c r="AS52" s="215"/>
      <c r="AT52" s="214"/>
      <c r="AU52" s="215"/>
      <c r="AV52" s="214"/>
      <c r="AW52" s="215"/>
      <c r="AX52" s="214"/>
      <c r="AY52" s="215"/>
      <c r="AZ52" s="214"/>
      <c r="BA52" s="215"/>
      <c r="BB52" s="214"/>
      <c r="BC52" s="215"/>
      <c r="BD52" s="214"/>
      <c r="BE52" s="215"/>
      <c r="BF52" s="214"/>
      <c r="BG52" s="215"/>
      <c r="BH52" s="214"/>
      <c r="BI52" s="215"/>
      <c r="BJ52" s="214"/>
      <c r="BK52" s="215"/>
      <c r="BL52" s="214"/>
      <c r="BM52" s="215"/>
      <c r="BN52" s="214"/>
      <c r="BO52" s="215"/>
      <c r="BP52" s="214"/>
      <c r="BQ52" s="215"/>
      <c r="BR52" s="193">
        <f t="shared" si="0"/>
        <v>0</v>
      </c>
    </row>
    <row r="53" spans="1:71" s="79" customFormat="1">
      <c r="A53" s="234"/>
      <c r="B53" s="188"/>
      <c r="C53" s="211"/>
      <c r="D53" s="214"/>
      <c r="E53" s="215"/>
      <c r="F53" s="214"/>
      <c r="G53" s="215"/>
      <c r="H53" s="214"/>
      <c r="I53" s="215"/>
      <c r="J53" s="214"/>
      <c r="K53" s="215"/>
      <c r="L53" s="214"/>
      <c r="M53" s="215"/>
      <c r="N53" s="214"/>
      <c r="O53" s="215"/>
      <c r="P53" s="214"/>
      <c r="Q53" s="215"/>
      <c r="R53" s="214"/>
      <c r="S53" s="215"/>
      <c r="T53" s="214"/>
      <c r="U53" s="215"/>
      <c r="V53" s="214"/>
      <c r="W53" s="215"/>
      <c r="X53" s="214"/>
      <c r="Y53" s="215"/>
      <c r="Z53" s="214"/>
      <c r="AA53" s="215"/>
      <c r="AB53" s="214"/>
      <c r="AC53" s="215"/>
      <c r="AD53" s="214"/>
      <c r="AE53" s="215"/>
      <c r="AF53" s="214"/>
      <c r="AG53" s="215"/>
      <c r="AH53" s="214"/>
      <c r="AI53" s="215"/>
      <c r="AJ53" s="214"/>
      <c r="AK53" s="215"/>
      <c r="AL53" s="214"/>
      <c r="AM53" s="215"/>
      <c r="AN53" s="214"/>
      <c r="AO53" s="215"/>
      <c r="AP53" s="214"/>
      <c r="AQ53" s="215"/>
      <c r="AR53" s="214"/>
      <c r="AS53" s="215"/>
      <c r="AT53" s="214"/>
      <c r="AU53" s="215"/>
      <c r="AV53" s="214"/>
      <c r="AW53" s="215"/>
      <c r="AX53" s="214"/>
      <c r="AY53" s="215"/>
      <c r="AZ53" s="214"/>
      <c r="BA53" s="215"/>
      <c r="BB53" s="214"/>
      <c r="BC53" s="215"/>
      <c r="BD53" s="214"/>
      <c r="BE53" s="215"/>
      <c r="BF53" s="214"/>
      <c r="BG53" s="215"/>
      <c r="BH53" s="214"/>
      <c r="BI53" s="215"/>
      <c r="BJ53" s="214"/>
      <c r="BK53" s="215"/>
      <c r="BL53" s="214"/>
      <c r="BM53" s="215"/>
      <c r="BN53" s="214"/>
      <c r="BO53" s="215"/>
      <c r="BP53" s="214"/>
      <c r="BQ53" s="215"/>
      <c r="BR53" s="193">
        <f t="shared" si="0"/>
        <v>0</v>
      </c>
    </row>
    <row r="54" spans="1:71" s="79" customFormat="1">
      <c r="A54" s="234"/>
      <c r="B54" s="188"/>
      <c r="C54" s="211"/>
      <c r="D54" s="214"/>
      <c r="E54" s="215"/>
      <c r="F54" s="214"/>
      <c r="G54" s="215"/>
      <c r="H54" s="214"/>
      <c r="I54" s="215"/>
      <c r="J54" s="214"/>
      <c r="K54" s="215"/>
      <c r="L54" s="214"/>
      <c r="M54" s="215"/>
      <c r="N54" s="214"/>
      <c r="O54" s="215"/>
      <c r="P54" s="214"/>
      <c r="Q54" s="215"/>
      <c r="R54" s="214"/>
      <c r="S54" s="215"/>
      <c r="T54" s="214"/>
      <c r="U54" s="215"/>
      <c r="V54" s="214"/>
      <c r="W54" s="215"/>
      <c r="X54" s="214"/>
      <c r="Y54" s="215"/>
      <c r="Z54" s="214"/>
      <c r="AA54" s="215"/>
      <c r="AB54" s="214"/>
      <c r="AC54" s="215"/>
      <c r="AD54" s="214"/>
      <c r="AE54" s="215"/>
      <c r="AF54" s="214"/>
      <c r="AG54" s="215"/>
      <c r="AH54" s="214"/>
      <c r="AI54" s="215"/>
      <c r="AJ54" s="214"/>
      <c r="AK54" s="215"/>
      <c r="AL54" s="214"/>
      <c r="AM54" s="215"/>
      <c r="AN54" s="214"/>
      <c r="AO54" s="215"/>
      <c r="AP54" s="214"/>
      <c r="AQ54" s="215"/>
      <c r="AR54" s="214"/>
      <c r="AS54" s="215"/>
      <c r="AT54" s="214"/>
      <c r="AU54" s="215"/>
      <c r="AV54" s="214"/>
      <c r="AW54" s="215"/>
      <c r="AX54" s="214"/>
      <c r="AY54" s="215"/>
      <c r="AZ54" s="214"/>
      <c r="BA54" s="215"/>
      <c r="BB54" s="214"/>
      <c r="BC54" s="215"/>
      <c r="BD54" s="214"/>
      <c r="BE54" s="215"/>
      <c r="BF54" s="214"/>
      <c r="BG54" s="215"/>
      <c r="BH54" s="214"/>
      <c r="BI54" s="215"/>
      <c r="BJ54" s="214"/>
      <c r="BK54" s="215"/>
      <c r="BL54" s="214"/>
      <c r="BM54" s="215"/>
      <c r="BN54" s="214"/>
      <c r="BO54" s="215"/>
      <c r="BP54" s="214"/>
      <c r="BQ54" s="215"/>
      <c r="BR54" s="193">
        <f t="shared" si="0"/>
        <v>0</v>
      </c>
    </row>
    <row r="55" spans="1:71" s="79" customFormat="1">
      <c r="A55" s="234"/>
      <c r="B55" s="188"/>
      <c r="C55" s="211"/>
      <c r="D55" s="214"/>
      <c r="E55" s="215"/>
      <c r="F55" s="214"/>
      <c r="G55" s="215"/>
      <c r="H55" s="214"/>
      <c r="I55" s="215"/>
      <c r="J55" s="214"/>
      <c r="K55" s="215"/>
      <c r="L55" s="214"/>
      <c r="M55" s="215"/>
      <c r="N55" s="214"/>
      <c r="O55" s="215"/>
      <c r="P55" s="214"/>
      <c r="Q55" s="215"/>
      <c r="R55" s="214"/>
      <c r="S55" s="215"/>
      <c r="T55" s="214"/>
      <c r="U55" s="215"/>
      <c r="V55" s="214"/>
      <c r="W55" s="215"/>
      <c r="X55" s="214"/>
      <c r="Y55" s="215"/>
      <c r="Z55" s="214"/>
      <c r="AA55" s="215"/>
      <c r="AB55" s="214"/>
      <c r="AC55" s="215"/>
      <c r="AD55" s="214"/>
      <c r="AE55" s="215"/>
      <c r="AF55" s="214"/>
      <c r="AG55" s="215"/>
      <c r="AH55" s="214"/>
      <c r="AI55" s="215"/>
      <c r="AJ55" s="214"/>
      <c r="AK55" s="215"/>
      <c r="AL55" s="214"/>
      <c r="AM55" s="215"/>
      <c r="AN55" s="214"/>
      <c r="AO55" s="215"/>
      <c r="AP55" s="214"/>
      <c r="AQ55" s="215"/>
      <c r="AR55" s="214"/>
      <c r="AS55" s="215"/>
      <c r="AT55" s="214"/>
      <c r="AU55" s="215"/>
      <c r="AV55" s="214"/>
      <c r="AW55" s="215"/>
      <c r="AX55" s="214"/>
      <c r="AY55" s="215"/>
      <c r="AZ55" s="214"/>
      <c r="BA55" s="215"/>
      <c r="BB55" s="214"/>
      <c r="BC55" s="215"/>
      <c r="BD55" s="214"/>
      <c r="BE55" s="215"/>
      <c r="BF55" s="214"/>
      <c r="BG55" s="215"/>
      <c r="BH55" s="214"/>
      <c r="BI55" s="215"/>
      <c r="BJ55" s="214"/>
      <c r="BK55" s="215"/>
      <c r="BL55" s="214"/>
      <c r="BM55" s="215"/>
      <c r="BN55" s="214"/>
      <c r="BO55" s="215"/>
      <c r="BP55" s="214"/>
      <c r="BQ55" s="215"/>
      <c r="BR55" s="193">
        <f t="shared" si="0"/>
        <v>0</v>
      </c>
    </row>
    <row r="56" spans="1:71" s="79" customFormat="1">
      <c r="A56" s="234"/>
      <c r="B56" s="188"/>
      <c r="C56" s="211"/>
      <c r="D56" s="214"/>
      <c r="E56" s="215"/>
      <c r="F56" s="214"/>
      <c r="G56" s="215"/>
      <c r="H56" s="214"/>
      <c r="I56" s="215"/>
      <c r="J56" s="214"/>
      <c r="K56" s="215"/>
      <c r="L56" s="214"/>
      <c r="M56" s="215"/>
      <c r="N56" s="214"/>
      <c r="O56" s="215"/>
      <c r="P56" s="214"/>
      <c r="Q56" s="215"/>
      <c r="R56" s="214"/>
      <c r="S56" s="215"/>
      <c r="T56" s="214"/>
      <c r="U56" s="215"/>
      <c r="V56" s="214"/>
      <c r="W56" s="215"/>
      <c r="X56" s="214"/>
      <c r="Y56" s="215"/>
      <c r="Z56" s="214"/>
      <c r="AA56" s="215"/>
      <c r="AB56" s="214"/>
      <c r="AC56" s="215"/>
      <c r="AD56" s="214"/>
      <c r="AE56" s="215"/>
      <c r="AF56" s="214"/>
      <c r="AG56" s="215"/>
      <c r="AH56" s="214"/>
      <c r="AI56" s="215"/>
      <c r="AJ56" s="214"/>
      <c r="AK56" s="215"/>
      <c r="AL56" s="214"/>
      <c r="AM56" s="215"/>
      <c r="AN56" s="214"/>
      <c r="AO56" s="215"/>
      <c r="AP56" s="214"/>
      <c r="AQ56" s="215"/>
      <c r="AR56" s="214"/>
      <c r="AS56" s="215"/>
      <c r="AT56" s="214"/>
      <c r="AU56" s="215"/>
      <c r="AV56" s="214"/>
      <c r="AW56" s="215"/>
      <c r="AX56" s="214"/>
      <c r="AY56" s="215"/>
      <c r="AZ56" s="214"/>
      <c r="BA56" s="215"/>
      <c r="BB56" s="214"/>
      <c r="BC56" s="215"/>
      <c r="BD56" s="214"/>
      <c r="BE56" s="215"/>
      <c r="BF56" s="214"/>
      <c r="BG56" s="215"/>
      <c r="BH56" s="214"/>
      <c r="BI56" s="215"/>
      <c r="BJ56" s="214"/>
      <c r="BK56" s="215"/>
      <c r="BL56" s="214"/>
      <c r="BM56" s="215"/>
      <c r="BN56" s="214"/>
      <c r="BO56" s="215"/>
      <c r="BP56" s="214"/>
      <c r="BQ56" s="215"/>
      <c r="BR56" s="193">
        <f t="shared" si="0"/>
        <v>0</v>
      </c>
    </row>
    <row r="57" spans="1:71" s="79" customFormat="1">
      <c r="A57" s="234"/>
      <c r="B57" s="188"/>
      <c r="C57" s="211"/>
      <c r="D57" s="214"/>
      <c r="E57" s="215"/>
      <c r="F57" s="214"/>
      <c r="G57" s="215"/>
      <c r="H57" s="214"/>
      <c r="I57" s="215"/>
      <c r="J57" s="214"/>
      <c r="K57" s="215"/>
      <c r="L57" s="214"/>
      <c r="M57" s="215"/>
      <c r="N57" s="214"/>
      <c r="O57" s="215"/>
      <c r="P57" s="214"/>
      <c r="Q57" s="215"/>
      <c r="R57" s="214"/>
      <c r="S57" s="215"/>
      <c r="T57" s="214"/>
      <c r="U57" s="215"/>
      <c r="V57" s="214"/>
      <c r="W57" s="215"/>
      <c r="X57" s="214"/>
      <c r="Y57" s="215"/>
      <c r="Z57" s="214"/>
      <c r="AA57" s="215"/>
      <c r="AB57" s="214"/>
      <c r="AC57" s="215"/>
      <c r="AD57" s="214"/>
      <c r="AE57" s="215"/>
      <c r="AF57" s="214"/>
      <c r="AG57" s="215"/>
      <c r="AH57" s="214"/>
      <c r="AI57" s="215"/>
      <c r="AJ57" s="214"/>
      <c r="AK57" s="215"/>
      <c r="AL57" s="214"/>
      <c r="AM57" s="215"/>
      <c r="AN57" s="214"/>
      <c r="AO57" s="215"/>
      <c r="AP57" s="214"/>
      <c r="AQ57" s="215"/>
      <c r="AR57" s="214"/>
      <c r="AS57" s="215"/>
      <c r="AT57" s="214"/>
      <c r="AU57" s="215"/>
      <c r="AV57" s="214"/>
      <c r="AW57" s="215"/>
      <c r="AX57" s="214"/>
      <c r="AY57" s="215"/>
      <c r="AZ57" s="214"/>
      <c r="BA57" s="215"/>
      <c r="BB57" s="214"/>
      <c r="BC57" s="215"/>
      <c r="BD57" s="214"/>
      <c r="BE57" s="215"/>
      <c r="BF57" s="214"/>
      <c r="BG57" s="215"/>
      <c r="BH57" s="214"/>
      <c r="BI57" s="215"/>
      <c r="BJ57" s="214"/>
      <c r="BK57" s="215"/>
      <c r="BL57" s="214"/>
      <c r="BM57" s="215"/>
      <c r="BN57" s="214"/>
      <c r="BO57" s="215"/>
      <c r="BP57" s="214"/>
      <c r="BQ57" s="215"/>
      <c r="BR57" s="193">
        <f t="shared" si="0"/>
        <v>0</v>
      </c>
    </row>
    <row r="58" spans="1:71" s="79" customFormat="1">
      <c r="A58" s="234"/>
      <c r="B58" s="188"/>
      <c r="C58" s="186"/>
      <c r="D58" s="214"/>
      <c r="E58" s="215"/>
      <c r="F58" s="214"/>
      <c r="G58" s="215"/>
      <c r="H58" s="214"/>
      <c r="I58" s="215"/>
      <c r="J58" s="214"/>
      <c r="K58" s="215"/>
      <c r="L58" s="214"/>
      <c r="M58" s="215"/>
      <c r="N58" s="214"/>
      <c r="O58" s="215"/>
      <c r="P58" s="214"/>
      <c r="Q58" s="215"/>
      <c r="R58" s="214"/>
      <c r="S58" s="215"/>
      <c r="T58" s="214"/>
      <c r="U58" s="215"/>
      <c r="V58" s="214"/>
      <c r="W58" s="215"/>
      <c r="X58" s="214"/>
      <c r="Y58" s="215"/>
      <c r="Z58" s="214"/>
      <c r="AA58" s="215"/>
      <c r="AB58" s="214"/>
      <c r="AC58" s="215"/>
      <c r="AD58" s="214"/>
      <c r="AE58" s="215"/>
      <c r="AF58" s="214"/>
      <c r="AG58" s="215"/>
      <c r="AH58" s="214"/>
      <c r="AI58" s="215"/>
      <c r="AJ58" s="214"/>
      <c r="AK58" s="215"/>
      <c r="AL58" s="214"/>
      <c r="AM58" s="215"/>
      <c r="AN58" s="214"/>
      <c r="AO58" s="215"/>
      <c r="AP58" s="214"/>
      <c r="AQ58" s="215"/>
      <c r="AR58" s="214"/>
      <c r="AS58" s="215"/>
      <c r="AT58" s="214"/>
      <c r="AU58" s="215"/>
      <c r="AV58" s="214"/>
      <c r="AW58" s="215"/>
      <c r="AX58" s="214"/>
      <c r="AY58" s="215"/>
      <c r="AZ58" s="214"/>
      <c r="BA58" s="215"/>
      <c r="BB58" s="214"/>
      <c r="BC58" s="215"/>
      <c r="BD58" s="214"/>
      <c r="BE58" s="215"/>
      <c r="BF58" s="214"/>
      <c r="BG58" s="215"/>
      <c r="BH58" s="214"/>
      <c r="BI58" s="215"/>
      <c r="BJ58" s="214"/>
      <c r="BK58" s="215"/>
      <c r="BL58" s="214"/>
      <c r="BM58" s="215"/>
      <c r="BN58" s="214"/>
      <c r="BO58" s="215"/>
      <c r="BP58" s="214"/>
      <c r="BQ58" s="215"/>
      <c r="BR58" s="193">
        <f t="shared" ref="BR58:BR63" si="1">D58-E58+F58-G58+H58-I58+J58-K58+L58-M58+N58-O58+P58-Q58+R58-S58+T58-U58+V58-W58+X58-Y58+Z58-AA58+AB58-AC58+AD58-AE58+AF58-AG58+AH58-AI58+AJ58-AK58+AL58-AM58+AN58-AO58+AP58-AQ58+AR58-AS58+AT58-AU58+AV58-AW58+AX58-AY58+AZ58-BA58+BB58-BC58+BD58-BE58+BF58-BG58+BH58-BI58+BJ58-BK58+BL58-BM58+BN58-BO58+BP58-BQ58</f>
        <v>0</v>
      </c>
    </row>
    <row r="59" spans="1:71" s="79" customFormat="1">
      <c r="A59" s="234"/>
      <c r="B59" s="188"/>
      <c r="C59" s="211"/>
      <c r="D59" s="214"/>
      <c r="E59" s="215"/>
      <c r="F59" s="214"/>
      <c r="G59" s="215"/>
      <c r="H59" s="214"/>
      <c r="I59" s="215"/>
      <c r="J59" s="214"/>
      <c r="K59" s="215"/>
      <c r="L59" s="214"/>
      <c r="M59" s="215"/>
      <c r="N59" s="214"/>
      <c r="O59" s="215"/>
      <c r="P59" s="214"/>
      <c r="Q59" s="215"/>
      <c r="R59" s="214"/>
      <c r="S59" s="215"/>
      <c r="T59" s="214"/>
      <c r="U59" s="215"/>
      <c r="V59" s="214"/>
      <c r="W59" s="215"/>
      <c r="X59" s="214"/>
      <c r="Y59" s="215"/>
      <c r="Z59" s="214"/>
      <c r="AA59" s="215"/>
      <c r="AB59" s="214"/>
      <c r="AC59" s="215"/>
      <c r="AD59" s="214"/>
      <c r="AE59" s="215"/>
      <c r="AF59" s="214"/>
      <c r="AG59" s="215"/>
      <c r="AH59" s="214"/>
      <c r="AI59" s="215"/>
      <c r="AJ59" s="214"/>
      <c r="AK59" s="215"/>
      <c r="AL59" s="214"/>
      <c r="AM59" s="215"/>
      <c r="AN59" s="214"/>
      <c r="AO59" s="215"/>
      <c r="AP59" s="214"/>
      <c r="AQ59" s="215"/>
      <c r="AR59" s="214"/>
      <c r="AS59" s="215"/>
      <c r="AT59" s="214"/>
      <c r="AU59" s="215"/>
      <c r="AV59" s="214"/>
      <c r="AW59" s="215"/>
      <c r="AX59" s="214"/>
      <c r="AY59" s="215"/>
      <c r="AZ59" s="214"/>
      <c r="BA59" s="215"/>
      <c r="BB59" s="214"/>
      <c r="BC59" s="215"/>
      <c r="BD59" s="214"/>
      <c r="BE59" s="215"/>
      <c r="BF59" s="214"/>
      <c r="BG59" s="215"/>
      <c r="BH59" s="214"/>
      <c r="BI59" s="215"/>
      <c r="BJ59" s="214"/>
      <c r="BK59" s="215"/>
      <c r="BL59" s="214"/>
      <c r="BM59" s="215"/>
      <c r="BN59" s="214"/>
      <c r="BO59" s="215"/>
      <c r="BP59" s="214"/>
      <c r="BQ59" s="215"/>
      <c r="BR59" s="193">
        <f t="shared" si="1"/>
        <v>0</v>
      </c>
    </row>
    <row r="60" spans="1:71" s="79" customFormat="1">
      <c r="A60" s="234"/>
      <c r="B60" s="188"/>
      <c r="C60" s="211"/>
      <c r="D60" s="214"/>
      <c r="E60" s="215"/>
      <c r="F60" s="214"/>
      <c r="G60" s="215"/>
      <c r="H60" s="214"/>
      <c r="I60" s="215"/>
      <c r="J60" s="214"/>
      <c r="K60" s="215"/>
      <c r="L60" s="214"/>
      <c r="M60" s="215"/>
      <c r="N60" s="214"/>
      <c r="O60" s="215"/>
      <c r="P60" s="214"/>
      <c r="Q60" s="215"/>
      <c r="R60" s="214"/>
      <c r="S60" s="215"/>
      <c r="T60" s="214"/>
      <c r="U60" s="215"/>
      <c r="V60" s="214"/>
      <c r="W60" s="215"/>
      <c r="X60" s="214"/>
      <c r="Y60" s="215"/>
      <c r="Z60" s="214"/>
      <c r="AA60" s="215"/>
      <c r="AB60" s="214"/>
      <c r="AC60" s="215"/>
      <c r="AD60" s="214"/>
      <c r="AE60" s="215"/>
      <c r="AF60" s="214"/>
      <c r="AG60" s="215"/>
      <c r="AH60" s="214"/>
      <c r="AI60" s="215"/>
      <c r="AJ60" s="214"/>
      <c r="AK60" s="215"/>
      <c r="AL60" s="214"/>
      <c r="AM60" s="215"/>
      <c r="AN60" s="214"/>
      <c r="AO60" s="215"/>
      <c r="AP60" s="214"/>
      <c r="AQ60" s="215"/>
      <c r="AR60" s="214"/>
      <c r="AS60" s="215"/>
      <c r="AT60" s="214"/>
      <c r="AU60" s="215"/>
      <c r="AV60" s="214"/>
      <c r="AW60" s="215"/>
      <c r="AX60" s="214"/>
      <c r="AY60" s="215"/>
      <c r="AZ60" s="214"/>
      <c r="BA60" s="215"/>
      <c r="BB60" s="214"/>
      <c r="BC60" s="215"/>
      <c r="BD60" s="214"/>
      <c r="BE60" s="215"/>
      <c r="BF60" s="214"/>
      <c r="BG60" s="215"/>
      <c r="BH60" s="214"/>
      <c r="BI60" s="215"/>
      <c r="BJ60" s="214"/>
      <c r="BK60" s="215"/>
      <c r="BL60" s="214"/>
      <c r="BM60" s="215"/>
      <c r="BN60" s="214"/>
      <c r="BO60" s="215"/>
      <c r="BP60" s="214"/>
      <c r="BQ60" s="215"/>
      <c r="BR60" s="193">
        <f t="shared" si="1"/>
        <v>0</v>
      </c>
    </row>
    <row r="61" spans="1:71" s="79" customFormat="1">
      <c r="A61" s="234"/>
      <c r="B61" s="188"/>
      <c r="C61" s="211"/>
      <c r="D61" s="214"/>
      <c r="E61" s="215"/>
      <c r="F61" s="214"/>
      <c r="G61" s="215"/>
      <c r="H61" s="214"/>
      <c r="I61" s="215"/>
      <c r="J61" s="214"/>
      <c r="K61" s="215"/>
      <c r="L61" s="214"/>
      <c r="M61" s="215"/>
      <c r="N61" s="214"/>
      <c r="O61" s="215"/>
      <c r="P61" s="214"/>
      <c r="Q61" s="215"/>
      <c r="R61" s="214"/>
      <c r="S61" s="215"/>
      <c r="T61" s="214"/>
      <c r="U61" s="215"/>
      <c r="V61" s="214"/>
      <c r="W61" s="215"/>
      <c r="X61" s="214"/>
      <c r="Y61" s="215"/>
      <c r="Z61" s="214"/>
      <c r="AA61" s="215"/>
      <c r="AB61" s="214"/>
      <c r="AC61" s="215"/>
      <c r="AD61" s="214"/>
      <c r="AE61" s="215"/>
      <c r="AF61" s="214"/>
      <c r="AG61" s="215"/>
      <c r="AH61" s="214"/>
      <c r="AI61" s="215"/>
      <c r="AJ61" s="214"/>
      <c r="AK61" s="215"/>
      <c r="AL61" s="214"/>
      <c r="AM61" s="215"/>
      <c r="AN61" s="214"/>
      <c r="AO61" s="215"/>
      <c r="AP61" s="214"/>
      <c r="AQ61" s="215"/>
      <c r="AR61" s="214"/>
      <c r="AS61" s="215"/>
      <c r="AT61" s="214"/>
      <c r="AU61" s="215"/>
      <c r="AV61" s="214"/>
      <c r="AW61" s="215"/>
      <c r="AX61" s="214"/>
      <c r="AY61" s="215"/>
      <c r="AZ61" s="214"/>
      <c r="BA61" s="215"/>
      <c r="BB61" s="214"/>
      <c r="BC61" s="215"/>
      <c r="BD61" s="214"/>
      <c r="BE61" s="215"/>
      <c r="BF61" s="214"/>
      <c r="BG61" s="215"/>
      <c r="BH61" s="214"/>
      <c r="BI61" s="215"/>
      <c r="BJ61" s="214"/>
      <c r="BK61" s="215"/>
      <c r="BL61" s="214"/>
      <c r="BM61" s="215"/>
      <c r="BN61" s="214"/>
      <c r="BO61" s="215"/>
      <c r="BP61" s="214"/>
      <c r="BQ61" s="215"/>
      <c r="BR61" s="193">
        <f t="shared" si="1"/>
        <v>0</v>
      </c>
    </row>
    <row r="62" spans="1:71" s="202" customFormat="1">
      <c r="A62" s="235"/>
      <c r="B62" s="207" t="s">
        <v>41</v>
      </c>
      <c r="C62" s="207"/>
      <c r="D62" s="216">
        <f>SUM(D8:D61)</f>
        <v>0</v>
      </c>
      <c r="E62" s="217"/>
      <c r="F62" s="216">
        <f>SUM(F8:F61)</f>
        <v>41937.21</v>
      </c>
      <c r="G62" s="217"/>
      <c r="H62" s="216">
        <f>SUM(H8:H61)</f>
        <v>5000</v>
      </c>
      <c r="I62" s="217"/>
      <c r="J62" s="216">
        <f>SUM(J8:J61)</f>
        <v>0</v>
      </c>
      <c r="K62" s="217"/>
      <c r="L62" s="216">
        <f>SUM(L8:L61)</f>
        <v>12345</v>
      </c>
      <c r="M62" s="217"/>
      <c r="N62" s="216">
        <f>SUM(N8:N61)</f>
        <v>5985</v>
      </c>
      <c r="O62" s="217"/>
      <c r="P62" s="216">
        <f>SUM(P8:P61)</f>
        <v>1118</v>
      </c>
      <c r="Q62" s="217"/>
      <c r="R62" s="216">
        <f>SUM(R8:R61)</f>
        <v>2754</v>
      </c>
      <c r="S62" s="217"/>
      <c r="T62" s="216">
        <f>SUM(T8:T61)</f>
        <v>1338.5</v>
      </c>
      <c r="U62" s="217"/>
      <c r="V62" s="216">
        <f>SUM(V8:V61)</f>
        <v>2500</v>
      </c>
      <c r="W62" s="217"/>
      <c r="X62" s="216">
        <f>SUM(X8:X61)</f>
        <v>235</v>
      </c>
      <c r="Y62" s="217"/>
      <c r="Z62" s="216">
        <f>SUM(Z8:Z61)</f>
        <v>0</v>
      </c>
      <c r="AA62" s="217"/>
      <c r="AB62" s="216">
        <f>SUM(AB8:AB61)</f>
        <v>4337</v>
      </c>
      <c r="AC62" s="217"/>
      <c r="AD62" s="216">
        <f>SUM(AD8:AD61)</f>
        <v>341.6</v>
      </c>
      <c r="AE62" s="217"/>
      <c r="AF62" s="216">
        <f>SUM(AF8:AF61)</f>
        <v>0</v>
      </c>
      <c r="AG62" s="217"/>
      <c r="AH62" s="216">
        <f>SUM(AH8:AH61)</f>
        <v>985658.74</v>
      </c>
      <c r="AI62" s="217"/>
      <c r="AJ62" s="216">
        <f>SUM(AJ8:AJ61)</f>
        <v>0</v>
      </c>
      <c r="AK62" s="217"/>
      <c r="AL62" s="216">
        <f>SUM(AL8:AL61)</f>
        <v>0</v>
      </c>
      <c r="AM62" s="217"/>
      <c r="AN62" s="216">
        <f>SUM(AN8:AN61)</f>
        <v>0</v>
      </c>
      <c r="AO62" s="217"/>
      <c r="AP62" s="216">
        <f>SUM(AP8:AP61)</f>
        <v>0</v>
      </c>
      <c r="AQ62" s="217"/>
      <c r="AR62" s="216">
        <f>SUM(AR8:AR61)</f>
        <v>0</v>
      </c>
      <c r="AS62" s="217"/>
      <c r="AT62" s="216">
        <f>SUM(AT8:AT61)</f>
        <v>950000</v>
      </c>
      <c r="AU62" s="217"/>
      <c r="AV62" s="216">
        <f>SUM(AV8:AV61)</f>
        <v>112480</v>
      </c>
      <c r="AW62" s="217"/>
      <c r="AX62" s="216">
        <f>SUM(AX8:AX61)</f>
        <v>5000</v>
      </c>
      <c r="AY62" s="217"/>
      <c r="AZ62" s="216">
        <f>SUM(AZ8:AZ61)</f>
        <v>0</v>
      </c>
      <c r="BA62" s="217"/>
      <c r="BB62" s="216">
        <f>SUM(BB8:BB61)</f>
        <v>0</v>
      </c>
      <c r="BC62" s="217"/>
      <c r="BD62" s="216">
        <f>SUM(BD8:BD61)</f>
        <v>0</v>
      </c>
      <c r="BE62" s="217"/>
      <c r="BF62" s="216">
        <f>SUM(BF8:BF61)</f>
        <v>0</v>
      </c>
      <c r="BG62" s="217"/>
      <c r="BH62" s="216">
        <f>SUM(BH8:BH61)</f>
        <v>0</v>
      </c>
      <c r="BI62" s="217"/>
      <c r="BJ62" s="216">
        <f>SUM(BJ8:BJ61)</f>
        <v>0</v>
      </c>
      <c r="BK62" s="217"/>
      <c r="BL62" s="216">
        <f>SUM(BL8:BL61)</f>
        <v>0</v>
      </c>
      <c r="BM62" s="217"/>
      <c r="BN62" s="216">
        <f>SUM(BN8:BN61)</f>
        <v>7334.28</v>
      </c>
      <c r="BO62" s="217"/>
      <c r="BP62" s="216">
        <f>SUM(BP8:BP61)</f>
        <v>5575.71</v>
      </c>
      <c r="BQ62" s="217"/>
      <c r="BR62" s="203">
        <f t="shared" si="1"/>
        <v>2143940.0399999996</v>
      </c>
      <c r="BS62" s="202" t="s">
        <v>28</v>
      </c>
    </row>
    <row r="63" spans="1:71" s="202" customFormat="1">
      <c r="A63" s="235"/>
      <c r="B63" s="204" t="s">
        <v>42</v>
      </c>
      <c r="C63" s="204"/>
      <c r="D63" s="218"/>
      <c r="E63" s="219">
        <f>SUM(E8:E61)</f>
        <v>0</v>
      </c>
      <c r="F63" s="218"/>
      <c r="G63" s="219">
        <f>SUM(G8:G61)</f>
        <v>33235.089999999997</v>
      </c>
      <c r="H63" s="218"/>
      <c r="I63" s="219">
        <f>SUM(I8:I61)</f>
        <v>0</v>
      </c>
      <c r="J63" s="218"/>
      <c r="K63" s="219">
        <f>SUM(K8:K61)</f>
        <v>0</v>
      </c>
      <c r="L63" s="218"/>
      <c r="M63" s="219">
        <f>SUM(M8:M61)</f>
        <v>1052</v>
      </c>
      <c r="N63" s="218"/>
      <c r="O63" s="219">
        <f>SUM(O8:O61)</f>
        <v>0</v>
      </c>
      <c r="P63" s="218"/>
      <c r="Q63" s="219">
        <f>SUM(Q8:Q61)</f>
        <v>0</v>
      </c>
      <c r="R63" s="218"/>
      <c r="S63" s="219">
        <f>SUM(S8:S61)</f>
        <v>0</v>
      </c>
      <c r="T63" s="218"/>
      <c r="U63" s="219">
        <f>SUM(U8:U61)</f>
        <v>0</v>
      </c>
      <c r="V63" s="218"/>
      <c r="W63" s="219">
        <f>SUM(W8:W61)</f>
        <v>0</v>
      </c>
      <c r="X63" s="218"/>
      <c r="Y63" s="219">
        <f>SUM(Y8:Y61)</f>
        <v>0</v>
      </c>
      <c r="Z63" s="218"/>
      <c r="AA63" s="219">
        <f>SUM(AA8:AA61)</f>
        <v>0</v>
      </c>
      <c r="AB63" s="218"/>
      <c r="AC63" s="219">
        <f>SUM(AC8:AC61)</f>
        <v>0</v>
      </c>
      <c r="AD63" s="218"/>
      <c r="AE63" s="219">
        <f>SUM(AE8:AE61)</f>
        <v>0</v>
      </c>
      <c r="AF63" s="218"/>
      <c r="AG63" s="219">
        <f>SUM(AG8:AG61)</f>
        <v>23400</v>
      </c>
      <c r="AH63" s="218"/>
      <c r="AI63" s="219">
        <f>SUM(AI8:AI61)</f>
        <v>13500</v>
      </c>
      <c r="AJ63" s="218"/>
      <c r="AK63" s="219">
        <f>SUM(AK8:AK61)</f>
        <v>26804.99</v>
      </c>
      <c r="AL63" s="218"/>
      <c r="AM63" s="219">
        <f>SUM(AM8:AM61)</f>
        <v>0</v>
      </c>
      <c r="AN63" s="218"/>
      <c r="AO63" s="219">
        <f>SUM(AO8:AO61)</f>
        <v>4448</v>
      </c>
      <c r="AP63" s="218"/>
      <c r="AQ63" s="219">
        <f>SUM(AQ8:AQ61)</f>
        <v>0</v>
      </c>
      <c r="AR63" s="218"/>
      <c r="AS63" s="219">
        <f>SUM(AS8:AS61)</f>
        <v>0</v>
      </c>
      <c r="AT63" s="218"/>
      <c r="AU63" s="219">
        <f>SUM(AU8:AU61)</f>
        <v>0</v>
      </c>
      <c r="AV63" s="218"/>
      <c r="AW63" s="219">
        <f>SUM(AW8:AW61)</f>
        <v>0</v>
      </c>
      <c r="AX63" s="218"/>
      <c r="AY63" s="219">
        <f>SUM(AY8:AY61)</f>
        <v>0</v>
      </c>
      <c r="AZ63" s="218"/>
      <c r="BA63" s="219">
        <f>SUM(BA8:BA61)</f>
        <v>1067480</v>
      </c>
      <c r="BB63" s="218"/>
      <c r="BC63" s="219">
        <f>SUM(BC8:BC61)</f>
        <v>713087</v>
      </c>
      <c r="BD63" s="218"/>
      <c r="BE63" s="219">
        <f>SUM(BE8:BE61)</f>
        <v>250285.68</v>
      </c>
      <c r="BF63" s="218"/>
      <c r="BG63" s="219">
        <f>SUM(BG8:BG61)</f>
        <v>0</v>
      </c>
      <c r="BH63" s="218"/>
      <c r="BI63" s="219">
        <f>SUM(BI8:BI61)</f>
        <v>0</v>
      </c>
      <c r="BJ63" s="218"/>
      <c r="BK63" s="219">
        <f>SUM(BK8:BK61)</f>
        <v>0</v>
      </c>
      <c r="BL63" s="218"/>
      <c r="BM63" s="219">
        <f>SUM(BM8:BM61)</f>
        <v>0</v>
      </c>
      <c r="BN63" s="218"/>
      <c r="BO63" s="219">
        <f>SUM(BO8:BO61)</f>
        <v>10647.279999999999</v>
      </c>
      <c r="BP63" s="218"/>
      <c r="BQ63" s="219">
        <f>SUM(BQ8:BQ61)</f>
        <v>0</v>
      </c>
      <c r="BR63" s="203">
        <f t="shared" si="1"/>
        <v>-2143940.04</v>
      </c>
      <c r="BS63" s="202" t="s">
        <v>29</v>
      </c>
    </row>
    <row r="64" spans="1:71" s="202" customFormat="1">
      <c r="A64" s="235"/>
      <c r="B64" s="204" t="s">
        <v>197</v>
      </c>
      <c r="C64" s="204"/>
      <c r="D64" s="220">
        <f>IF(D62&gt;=E63,D62-E63,"")</f>
        <v>0</v>
      </c>
      <c r="E64" s="221" t="str">
        <f>IF(D62&lt;E63,E63-D62,"")</f>
        <v/>
      </c>
      <c r="F64" s="220">
        <f>IF(F62&gt;=G63,F62-G63,"")</f>
        <v>8702.1200000000026</v>
      </c>
      <c r="G64" s="221" t="str">
        <f>IF(F62&lt;G63,G63-F62,"")</f>
        <v/>
      </c>
      <c r="H64" s="220">
        <f>IF(H62&gt;=I63,H62-I63,"")</f>
        <v>5000</v>
      </c>
      <c r="I64" s="221" t="str">
        <f>IF(H62&lt;I63,I63-H62,"")</f>
        <v/>
      </c>
      <c r="J64" s="220">
        <f>IF(J62&gt;=K63,J62-K63,"")</f>
        <v>0</v>
      </c>
      <c r="K64" s="221" t="str">
        <f>IF(J62&lt;K63,K63-J62,"")</f>
        <v/>
      </c>
      <c r="L64" s="220">
        <f>IF(L62&gt;=M63,L62-M63,"")</f>
        <v>11293</v>
      </c>
      <c r="M64" s="221" t="str">
        <f>IF(L62&lt;M63,M63-L62,"")</f>
        <v/>
      </c>
      <c r="N64" s="220">
        <f>IF(N62&gt;=O63,N62-O63,"")</f>
        <v>5985</v>
      </c>
      <c r="O64" s="221" t="str">
        <f>IF(N62&lt;O63,O63-N62,"")</f>
        <v/>
      </c>
      <c r="P64" s="220">
        <f>IF(P62&gt;=Q63,P62-Q63,"")</f>
        <v>1118</v>
      </c>
      <c r="Q64" s="221" t="str">
        <f>IF(P62&lt;Q63,Q63-P62,"")</f>
        <v/>
      </c>
      <c r="R64" s="220">
        <f>IF(R62&gt;=S63,R62-S63,"")</f>
        <v>2754</v>
      </c>
      <c r="S64" s="221" t="str">
        <f>IF(R62&lt;S63,S63-R62,"")</f>
        <v/>
      </c>
      <c r="T64" s="220">
        <f>IF(T62&gt;=U63,T62-U63,"")</f>
        <v>1338.5</v>
      </c>
      <c r="U64" s="221" t="str">
        <f>IF(T62&lt;U63,U63-T62,"")</f>
        <v/>
      </c>
      <c r="V64" s="220">
        <f>IF(V62&gt;=W63,V62-W63,"")</f>
        <v>2500</v>
      </c>
      <c r="W64" s="221" t="str">
        <f>IF(V62&lt;W63,W63-V62,"")</f>
        <v/>
      </c>
      <c r="X64" s="220">
        <f>IF(X62&gt;=Y63,X62-Y63,"")</f>
        <v>235</v>
      </c>
      <c r="Y64" s="221" t="str">
        <f>IF(X62&lt;Y63,Y63-X62,"")</f>
        <v/>
      </c>
      <c r="Z64" s="220">
        <f>IF(Z62&gt;=AA63,Z62-AA63,"")</f>
        <v>0</v>
      </c>
      <c r="AA64" s="221" t="str">
        <f>IF(Z62&lt;AA63,AA63-Z62,"")</f>
        <v/>
      </c>
      <c r="AB64" s="220">
        <f>IF(AB62&gt;=AC63,AB62-AC63,"")</f>
        <v>4337</v>
      </c>
      <c r="AC64" s="221" t="str">
        <f>IF(AB62&lt;AC63,AC63-AB62,"")</f>
        <v/>
      </c>
      <c r="AD64" s="220">
        <f>IF(AD62&gt;=AE63,AD62-AE63,"")</f>
        <v>341.6</v>
      </c>
      <c r="AE64" s="221" t="str">
        <f>IF(AD62&lt;AE63,AE63-AD62,"")</f>
        <v/>
      </c>
      <c r="AF64" s="220" t="str">
        <f>IF(AF62&gt;=AG63,AF62-AG63,"")</f>
        <v/>
      </c>
      <c r="AG64" s="221">
        <f>IF(AF62&lt;AG63,AG63-AF62,"")</f>
        <v>23400</v>
      </c>
      <c r="AH64" s="220">
        <f>IF(AH62&gt;=AI63,AH62-AI63,"")</f>
        <v>972158.74</v>
      </c>
      <c r="AI64" s="221" t="str">
        <f>IF(AH62&lt;AI63,AI63-AH62,"")</f>
        <v/>
      </c>
      <c r="AJ64" s="220" t="str">
        <f>IF(AJ62&gt;=AK63,AJ62-AK63,"")</f>
        <v/>
      </c>
      <c r="AK64" s="221">
        <f>IF(AJ62&lt;AK63,AK63-AJ62,"")</f>
        <v>26804.99</v>
      </c>
      <c r="AL64" s="220">
        <f>IF(AL62&gt;=AM63,AL62-AM63,"")</f>
        <v>0</v>
      </c>
      <c r="AM64" s="221" t="str">
        <f>IF(AL62&lt;AM63,AM63-AL62,"")</f>
        <v/>
      </c>
      <c r="AN64" s="220" t="str">
        <f>IF(AN62&gt;=AO63,AN62-AO63,"")</f>
        <v/>
      </c>
      <c r="AO64" s="221">
        <f>IF(AN62&lt;AO63,AO63-AN62,"")</f>
        <v>4448</v>
      </c>
      <c r="AP64" s="220">
        <f>IF(AP62&gt;=AQ63,AP62-AQ63,"")</f>
        <v>0</v>
      </c>
      <c r="AQ64" s="221" t="str">
        <f>IF(AP62&lt;AQ63,AQ63-AP62,"")</f>
        <v/>
      </c>
      <c r="AR64" s="220">
        <f>IF(AR62&gt;=AS63,AR62-AS63,"")</f>
        <v>0</v>
      </c>
      <c r="AS64" s="221" t="str">
        <f>IF(AR62&lt;AS63,AS63-AR62,"")</f>
        <v/>
      </c>
      <c r="AT64" s="220">
        <f>IF(AT62&gt;=AU63,AT62-AU63,"")</f>
        <v>950000</v>
      </c>
      <c r="AU64" s="221" t="str">
        <f>IF(AT62&lt;AU63,AU63-AT62,"")</f>
        <v/>
      </c>
      <c r="AV64" s="220">
        <f>IF(AV62&gt;=AW63,AV62-AW63,"")</f>
        <v>112480</v>
      </c>
      <c r="AW64" s="221" t="str">
        <f>IF(AV62&lt;AW63,AW63-AV62,"")</f>
        <v/>
      </c>
      <c r="AX64" s="220">
        <f>IF(AX62&gt;=AY63,AX62-AY63,"")</f>
        <v>5000</v>
      </c>
      <c r="AY64" s="221" t="str">
        <f>IF(AX62&lt;AY63,AY63-AX62,"")</f>
        <v/>
      </c>
      <c r="AZ64" s="220" t="str">
        <f>IF(AZ62&gt;=BA63,AZ62-BA63,"")</f>
        <v/>
      </c>
      <c r="BA64" s="221">
        <f>IF(AZ62&lt;BA63,BA63-AZ62,"")</f>
        <v>1067480</v>
      </c>
      <c r="BB64" s="220" t="str">
        <f>IF(BB62&gt;=BC63,BB62-BC63,"")</f>
        <v/>
      </c>
      <c r="BC64" s="221">
        <f>IF(BB62&lt;BC63,BC63-BB62,"")</f>
        <v>713087</v>
      </c>
      <c r="BD64" s="220" t="str">
        <f>IF(BD62&gt;=BE63,BD62-BE63,"")</f>
        <v/>
      </c>
      <c r="BE64" s="221">
        <f>IF(BD62&lt;BE63,BE63-BD62,"")</f>
        <v>250285.68</v>
      </c>
      <c r="BF64" s="220">
        <f>IF(BF62&gt;=BG63,BF62-BG63,"")</f>
        <v>0</v>
      </c>
      <c r="BG64" s="221" t="str">
        <f>IF(BF62&lt;BG63,BG63-BF62,"")</f>
        <v/>
      </c>
      <c r="BH64" s="220">
        <f>IF(BH62&gt;=BI63,BH62-BI63,"")</f>
        <v>0</v>
      </c>
      <c r="BI64" s="221" t="str">
        <f>IF(BH62&lt;BI63,BI63-BH62,"")</f>
        <v/>
      </c>
      <c r="BJ64" s="220">
        <f>IF(BJ62&gt;=BK63,BJ62-BK63,"")</f>
        <v>0</v>
      </c>
      <c r="BK64" s="221" t="str">
        <f>IF(BJ62&lt;BK63,BK63-BJ62,"")</f>
        <v/>
      </c>
      <c r="BL64" s="220">
        <f>IF(BL62&gt;=BM63,BL62-BM63,"")</f>
        <v>0</v>
      </c>
      <c r="BM64" s="221" t="str">
        <f>IF(BL62&lt;BM63,BM63-BL62,"")</f>
        <v/>
      </c>
      <c r="BN64" s="220" t="str">
        <f>IF(BN62&gt;=BO63,BN62-BO63,"")</f>
        <v/>
      </c>
      <c r="BO64" s="221">
        <f>IF(BN62&lt;BO63,BO63-BN62,"")</f>
        <v>3312.9999999999991</v>
      </c>
      <c r="BP64" s="220">
        <f>IF(BP62&gt;=BQ63,BP62-BQ63,"")</f>
        <v>5575.71</v>
      </c>
      <c r="BQ64" s="221" t="str">
        <f>IF(BP62&lt;BQ63,BQ63-BP62,"")</f>
        <v/>
      </c>
      <c r="BR64" s="203">
        <f>SUM(BR62:BR63)</f>
        <v>0</v>
      </c>
    </row>
    <row r="65" spans="1:71" s="202" customFormat="1">
      <c r="A65" s="235"/>
      <c r="B65" s="207" t="s">
        <v>172</v>
      </c>
      <c r="C65" s="207"/>
      <c r="D65" s="216"/>
      <c r="E65" s="217"/>
      <c r="F65" s="216"/>
      <c r="G65" s="217"/>
      <c r="H65" s="216"/>
      <c r="I65" s="217"/>
      <c r="J65" s="216"/>
      <c r="K65" s="217"/>
      <c r="L65" s="216"/>
      <c r="M65" s="217"/>
      <c r="N65" s="216"/>
      <c r="O65" s="217"/>
      <c r="P65" s="216"/>
      <c r="Q65" s="217"/>
      <c r="R65" s="216"/>
      <c r="S65" s="217"/>
      <c r="T65" s="216"/>
      <c r="U65" s="217"/>
      <c r="V65" s="216"/>
      <c r="W65" s="217"/>
      <c r="X65" s="216"/>
      <c r="Y65" s="217"/>
      <c r="Z65" s="216"/>
      <c r="AA65" s="217"/>
      <c r="AB65" s="216"/>
      <c r="AC65" s="217"/>
      <c r="AD65" s="216"/>
      <c r="AE65" s="217"/>
      <c r="AF65" s="216"/>
      <c r="AG65" s="217"/>
      <c r="AH65" s="216"/>
      <c r="AI65" s="217"/>
      <c r="AJ65" s="216"/>
      <c r="AK65" s="217"/>
      <c r="AL65" s="216"/>
      <c r="AM65" s="217"/>
      <c r="AN65" s="216"/>
      <c r="AO65" s="217"/>
      <c r="AP65" s="216"/>
      <c r="AQ65" s="217"/>
      <c r="AR65" s="216"/>
      <c r="AS65" s="217"/>
      <c r="AT65" s="216"/>
      <c r="AU65" s="217"/>
      <c r="AV65" s="216"/>
      <c r="AW65" s="217"/>
      <c r="AX65" s="216"/>
      <c r="AY65" s="217"/>
      <c r="AZ65" s="216"/>
      <c r="BA65" s="217"/>
      <c r="BB65" s="216"/>
      <c r="BC65" s="246">
        <f>D131</f>
        <v>3931.6996409063813</v>
      </c>
      <c r="BD65" s="216"/>
      <c r="BE65" s="246">
        <f>D132</f>
        <v>15819.190359093625</v>
      </c>
      <c r="BF65" s="216"/>
      <c r="BG65" s="217"/>
      <c r="BH65" s="216"/>
      <c r="BI65" s="217"/>
      <c r="BJ65" s="216"/>
      <c r="BK65" s="217"/>
      <c r="BL65" s="216"/>
      <c r="BM65" s="217"/>
      <c r="BN65" s="216"/>
      <c r="BO65" s="217"/>
      <c r="BP65" s="216"/>
      <c r="BQ65" s="217"/>
      <c r="BR65" s="193">
        <f>D65-E65+F65-G65+H65-I65+J65-K65+L65-M65+N65-O65+P65-Q65+R65-S65+T65-U65+V65-W65+X65-Y65+Z65-AA65+AB65-AC65+AD65-AE65+AF65-AG65+AH65-AI65+AJ65-AK65+AL65-AM65+AN65-AO65+AP65-AQ65+AR65-AS65+AT65-AU65+AV65-AW65+AX65-AY65+AZ65-BA65+BB65-BC65+BD65-BE65+BF65-BG65+BH65-BI65+BJ65-BK65+BL65-BM65+BN65-BO65+BP65-BQ65</f>
        <v>-19750.890000000007</v>
      </c>
      <c r="BS65" s="203"/>
    </row>
    <row r="66" spans="1:71" s="202" customFormat="1" ht="13.5" thickBot="1">
      <c r="A66" s="236"/>
      <c r="B66" s="237" t="s">
        <v>649</v>
      </c>
      <c r="C66" s="237"/>
      <c r="D66" s="238">
        <f>D64+D65</f>
        <v>0</v>
      </c>
      <c r="E66" s="239"/>
      <c r="F66" s="238">
        <f>F64+F65</f>
        <v>8702.1200000000026</v>
      </c>
      <c r="G66" s="239"/>
      <c r="H66" s="238"/>
      <c r="I66" s="239"/>
      <c r="J66" s="238"/>
      <c r="K66" s="239"/>
      <c r="L66" s="238"/>
      <c r="M66" s="239"/>
      <c r="N66" s="238"/>
      <c r="O66" s="239"/>
      <c r="P66" s="238"/>
      <c r="Q66" s="239"/>
      <c r="R66" s="238"/>
      <c r="S66" s="239"/>
      <c r="T66" s="238"/>
      <c r="U66" s="239"/>
      <c r="V66" s="238"/>
      <c r="W66" s="239"/>
      <c r="X66" s="238"/>
      <c r="Y66" s="239"/>
      <c r="Z66" s="238"/>
      <c r="AA66" s="239"/>
      <c r="AB66" s="238"/>
      <c r="AC66" s="239"/>
      <c r="AD66" s="238"/>
      <c r="AE66" s="239"/>
      <c r="AF66" s="238"/>
      <c r="AG66" s="239"/>
      <c r="AH66" s="238">
        <f>AH64+AH65</f>
        <v>972158.74</v>
      </c>
      <c r="AI66" s="239"/>
      <c r="AJ66" s="238"/>
      <c r="AK66" s="239"/>
      <c r="AL66" s="238"/>
      <c r="AM66" s="239"/>
      <c r="AN66" s="238"/>
      <c r="AO66" s="239"/>
      <c r="AP66" s="238"/>
      <c r="AQ66" s="239"/>
      <c r="AR66" s="238">
        <f>AR64+AR65</f>
        <v>0</v>
      </c>
      <c r="AS66" s="239"/>
      <c r="AT66" s="238">
        <f>AT64+AT65</f>
        <v>950000</v>
      </c>
      <c r="AU66" s="239"/>
      <c r="AV66" s="238">
        <f>AV64+AV65</f>
        <v>112480</v>
      </c>
      <c r="AW66" s="239"/>
      <c r="AX66" s="238">
        <f>AX64+AX65</f>
        <v>5000</v>
      </c>
      <c r="AY66" s="239"/>
      <c r="AZ66" s="238"/>
      <c r="BA66" s="239">
        <f>BA64+BA65</f>
        <v>1067480</v>
      </c>
      <c r="BB66" s="238"/>
      <c r="BC66" s="239">
        <f>BC64+BC65</f>
        <v>717018.69964090642</v>
      </c>
      <c r="BD66" s="238"/>
      <c r="BE66" s="239">
        <f>BE64+BE65</f>
        <v>266104.87035909359</v>
      </c>
      <c r="BF66" s="238">
        <f>BF64+BF65</f>
        <v>0</v>
      </c>
      <c r="BG66" s="239"/>
      <c r="BH66" s="238">
        <f>BH64+BH65</f>
        <v>0</v>
      </c>
      <c r="BI66" s="239"/>
      <c r="BJ66" s="238">
        <f>BJ64+BJ65</f>
        <v>0</v>
      </c>
      <c r="BK66" s="239"/>
      <c r="BL66" s="238">
        <f>BL64+BL65</f>
        <v>0</v>
      </c>
      <c r="BM66" s="239"/>
      <c r="BN66" s="238"/>
      <c r="BO66" s="239">
        <f>BO64+BO65-BN65</f>
        <v>3312.9999999999991</v>
      </c>
      <c r="BP66" s="238">
        <f>BP64+BP65</f>
        <v>5575.71</v>
      </c>
      <c r="BQ66" s="239"/>
      <c r="BR66" s="193">
        <f>D66-E66+F66-G66+H66-I66+J66-K66+L66-M66+N66-O66+P66-Q66+R66-S66+T66-U66+V66-W66+X66-Y66+Z66-AA66+AB66-AC66+AD66-AE66+AF66-AG66+AH66-AI66+AJ66-AK66+AL66-AM66+AN66-AO66+AP66-AQ66+AR66-AS66+AT66-AU66+AV66-AW66+AX66-AY66+AZ66-BA66+BB66-BC66+BD66-BE66+BF66-BG66+BH66-BI66+BJ66-BK66+BL66-BM66+BN66-BO66+BP66-BQ66</f>
        <v>-1.3642420526593924E-10</v>
      </c>
    </row>
    <row r="67" spans="1:71">
      <c r="B67" s="158"/>
      <c r="G67" s="113"/>
      <c r="H67" s="159"/>
      <c r="BR67" s="113"/>
    </row>
    <row r="68" spans="1:71">
      <c r="E68" s="43"/>
      <c r="F68" s="113"/>
    </row>
    <row r="69" spans="1:71">
      <c r="BR69" s="113"/>
    </row>
    <row r="70" spans="1:71" ht="24.75">
      <c r="B70" s="147" t="s">
        <v>753</v>
      </c>
      <c r="F70" s="113"/>
    </row>
    <row r="72" spans="1:71" ht="19.5">
      <c r="B72" s="148" t="s">
        <v>51</v>
      </c>
      <c r="C72" s="148"/>
      <c r="D72" s="148">
        <v>2013</v>
      </c>
      <c r="E72" s="148">
        <v>2012</v>
      </c>
    </row>
    <row r="73" spans="1:71">
      <c r="B73" s="35"/>
    </row>
    <row r="74" spans="1:71">
      <c r="B74" s="33" t="s">
        <v>52</v>
      </c>
    </row>
    <row r="75" spans="1:71">
      <c r="B75" s="33" t="s">
        <v>53</v>
      </c>
      <c r="H75" s="35"/>
      <c r="AF75" s="34"/>
      <c r="AG75" s="34"/>
    </row>
    <row r="76" spans="1:71">
      <c r="B76" s="276" t="s">
        <v>670</v>
      </c>
      <c r="C76" s="177"/>
      <c r="D76" s="155">
        <f>$F$62-$G$63</f>
        <v>8702.1200000000026</v>
      </c>
      <c r="E76" s="155">
        <f>F8</f>
        <v>5048.8500000000004</v>
      </c>
      <c r="F76" s="77"/>
      <c r="H76" s="64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5"/>
      <c r="AG76" s="75"/>
    </row>
    <row r="77" spans="1:71">
      <c r="B77" s="276" t="s">
        <v>703</v>
      </c>
      <c r="C77" s="177"/>
      <c r="D77" s="155">
        <f>$AH$62-$AI$63</f>
        <v>972158.74</v>
      </c>
      <c r="E77" s="155">
        <f>AH8</f>
        <v>958858.11</v>
      </c>
      <c r="F77" s="77"/>
      <c r="H77" s="64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5"/>
      <c r="AG77" s="75"/>
    </row>
    <row r="78" spans="1:71">
      <c r="B78" s="276" t="s">
        <v>32</v>
      </c>
      <c r="C78" s="177" t="s">
        <v>707</v>
      </c>
      <c r="D78" s="155">
        <f>$BP$62-$BQ$63</f>
        <v>5575.71</v>
      </c>
      <c r="E78" s="155">
        <f>BP8</f>
        <v>0</v>
      </c>
      <c r="F78" s="77"/>
      <c r="G78" s="77"/>
      <c r="H78" s="64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5"/>
      <c r="AG78" s="75"/>
    </row>
    <row r="79" spans="1:71">
      <c r="B79" s="33" t="s">
        <v>60</v>
      </c>
      <c r="D79" s="281">
        <f>SUM(D76:D78)</f>
        <v>986436.57</v>
      </c>
      <c r="E79" s="281">
        <f>SUM(E76:E78)</f>
        <v>963906.96</v>
      </c>
      <c r="F79" s="37"/>
      <c r="H79" s="64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5"/>
      <c r="AG79" s="75"/>
    </row>
    <row r="80" spans="1:71">
      <c r="B80" s="35"/>
      <c r="D80" s="77"/>
      <c r="E80" s="77"/>
      <c r="F80" s="37"/>
      <c r="H80" s="64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5"/>
      <c r="AG80" s="75"/>
    </row>
    <row r="81" spans="2:33">
      <c r="B81" s="33" t="s">
        <v>61</v>
      </c>
      <c r="C81" s="177" t="s">
        <v>781</v>
      </c>
      <c r="D81" s="77"/>
      <c r="E81" s="77"/>
      <c r="F81" s="37"/>
      <c r="H81" s="64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5"/>
      <c r="AG81" s="75"/>
    </row>
    <row r="82" spans="2:33">
      <c r="B82" s="35" t="s">
        <v>63</v>
      </c>
      <c r="C82" s="177"/>
      <c r="D82" s="155">
        <f>$AT$62-$AU$63</f>
        <v>950000</v>
      </c>
      <c r="E82" s="155">
        <f>AT8</f>
        <v>950000</v>
      </c>
      <c r="F82" s="37"/>
      <c r="H82" s="64"/>
    </row>
    <row r="83" spans="2:33">
      <c r="B83" s="36" t="s">
        <v>64</v>
      </c>
      <c r="C83" s="177"/>
      <c r="D83" s="155">
        <f>$AV$62-$AW$63</f>
        <v>112480</v>
      </c>
      <c r="E83" s="155">
        <f>AV8</f>
        <v>112480</v>
      </c>
      <c r="F83" s="37"/>
    </row>
    <row r="84" spans="2:33">
      <c r="B84" s="36" t="s">
        <v>339</v>
      </c>
      <c r="C84" s="177"/>
      <c r="D84" s="155">
        <f>$AX$62-$AY$63</f>
        <v>5000</v>
      </c>
      <c r="E84" s="155">
        <f>AX8</f>
        <v>5000</v>
      </c>
      <c r="F84" s="37"/>
    </row>
    <row r="85" spans="2:33">
      <c r="B85" s="38" t="s">
        <v>66</v>
      </c>
      <c r="D85" s="281">
        <f>SUM(D82:D84)</f>
        <v>1067480</v>
      </c>
      <c r="E85" s="281">
        <f>SUM(E82:E84)</f>
        <v>1067480</v>
      </c>
      <c r="F85" s="37"/>
    </row>
    <row r="86" spans="2:33">
      <c r="B86" s="35"/>
      <c r="D86" s="77"/>
      <c r="E86" s="77"/>
      <c r="F86" s="37"/>
    </row>
    <row r="87" spans="2:33">
      <c r="B87" s="35"/>
      <c r="D87" s="77"/>
      <c r="E87" s="77"/>
      <c r="F87" s="37"/>
    </row>
    <row r="88" spans="2:33" ht="13.5" thickBot="1">
      <c r="B88" s="38" t="s">
        <v>67</v>
      </c>
      <c r="D88" s="156">
        <f>D79+D85</f>
        <v>2053916.5699999998</v>
      </c>
      <c r="E88" s="156">
        <f>E79+E85</f>
        <v>2031386.96</v>
      </c>
      <c r="F88" s="37"/>
      <c r="AF88" s="75"/>
      <c r="AG88" s="75"/>
    </row>
    <row r="89" spans="2:33" ht="13.5" thickTop="1">
      <c r="B89" s="35"/>
      <c r="D89" s="77"/>
      <c r="E89" s="77"/>
      <c r="AF89" s="75"/>
      <c r="AG89" s="75"/>
    </row>
    <row r="90" spans="2:33">
      <c r="B90" s="35"/>
      <c r="D90" s="77"/>
      <c r="E90" s="77"/>
      <c r="AF90" s="75"/>
      <c r="AG90" s="75"/>
    </row>
    <row r="91" spans="2:33">
      <c r="B91" s="33" t="s">
        <v>68</v>
      </c>
      <c r="D91" s="77"/>
      <c r="E91" s="77"/>
      <c r="AF91" s="75"/>
      <c r="AG91" s="75"/>
    </row>
    <row r="92" spans="2:33">
      <c r="B92" s="35" t="s">
        <v>69</v>
      </c>
      <c r="C92" s="177" t="s">
        <v>792</v>
      </c>
      <c r="D92" s="155">
        <f>-$BN$62+$BO$63</f>
        <v>3312.9999999999991</v>
      </c>
      <c r="E92" s="155">
        <f>BO8</f>
        <v>534.27999999999975</v>
      </c>
      <c r="AF92" s="75"/>
      <c r="AG92" s="75"/>
    </row>
    <row r="93" spans="2:33">
      <c r="B93" s="33" t="s">
        <v>70</v>
      </c>
      <c r="D93" s="281">
        <f>SUM(D92:D92)</f>
        <v>3312.9999999999991</v>
      </c>
      <c r="E93" s="281">
        <f>SUM(E92:E92)</f>
        <v>534.27999999999975</v>
      </c>
      <c r="H93" s="34"/>
    </row>
    <row r="94" spans="2:33">
      <c r="B94" s="35"/>
      <c r="D94" s="77"/>
      <c r="E94" s="77"/>
      <c r="G94" s="152"/>
    </row>
    <row r="95" spans="2:33">
      <c r="B95" s="33" t="s">
        <v>71</v>
      </c>
      <c r="C95" s="177" t="s">
        <v>793</v>
      </c>
      <c r="D95" s="77"/>
      <c r="E95" s="77"/>
    </row>
    <row r="96" spans="2:33">
      <c r="B96" s="35" t="s">
        <v>72</v>
      </c>
      <c r="C96" s="177"/>
      <c r="D96" s="155">
        <f>-$AZ$62+$BA$63</f>
        <v>1067480</v>
      </c>
      <c r="E96" s="155">
        <f>BA8</f>
        <v>1067480</v>
      </c>
      <c r="F96" s="77"/>
      <c r="H96" s="77"/>
    </row>
    <row r="97" spans="2:31">
      <c r="B97" s="276" t="s">
        <v>687</v>
      </c>
      <c r="C97" s="177"/>
      <c r="D97" s="155">
        <f>BC66</f>
        <v>717018.69964090642</v>
      </c>
      <c r="E97" s="155">
        <f>BC8</f>
        <v>713087</v>
      </c>
    </row>
    <row r="98" spans="2:31">
      <c r="B98" s="276" t="s">
        <v>692</v>
      </c>
      <c r="C98" s="177"/>
      <c r="D98" s="155">
        <f>BE66</f>
        <v>266104.87035909359</v>
      </c>
      <c r="E98" s="155">
        <f>BE8</f>
        <v>250285.68</v>
      </c>
      <c r="F98" s="39"/>
    </row>
    <row r="99" spans="2:31">
      <c r="B99" s="38" t="s">
        <v>75</v>
      </c>
      <c r="D99" s="281">
        <f>SUM(D96:D98)</f>
        <v>2050603.57</v>
      </c>
      <c r="E99" s="281">
        <f>SUM(E96:E98)</f>
        <v>2030852.68</v>
      </c>
      <c r="F99" s="66"/>
    </row>
    <row r="100" spans="2:31">
      <c r="B100" s="35"/>
      <c r="D100" s="77"/>
      <c r="E100" s="77"/>
    </row>
    <row r="101" spans="2:31">
      <c r="B101" s="35"/>
      <c r="D101" s="77"/>
      <c r="E101" s="77"/>
    </row>
    <row r="102" spans="2:31" ht="13.5" thickBot="1">
      <c r="B102" s="33" t="s">
        <v>77</v>
      </c>
      <c r="D102" s="156">
        <f>D93+D99</f>
        <v>2053916.57</v>
      </c>
      <c r="E102" s="156">
        <f>E93+E99</f>
        <v>2031386.96</v>
      </c>
    </row>
    <row r="103" spans="2:31" ht="13.5" thickTop="1">
      <c r="B103" s="35"/>
      <c r="D103" s="77"/>
      <c r="E103" s="77"/>
    </row>
    <row r="104" spans="2:31">
      <c r="D104" s="77"/>
      <c r="E104" s="77"/>
    </row>
    <row r="105" spans="2:31" ht="24.75">
      <c r="B105" s="147" t="s">
        <v>754</v>
      </c>
      <c r="D105" s="77"/>
      <c r="E105" s="77"/>
    </row>
    <row r="106" spans="2:31">
      <c r="D106" s="77"/>
      <c r="E106" s="77"/>
      <c r="F106" s="35"/>
      <c r="G106" s="73"/>
    </row>
    <row r="107" spans="2:31" ht="19.5">
      <c r="B107" s="148" t="s">
        <v>313</v>
      </c>
      <c r="C107" s="148"/>
      <c r="D107" s="148">
        <v>2013</v>
      </c>
      <c r="E107" s="148">
        <v>2012</v>
      </c>
      <c r="F107" s="148" t="s">
        <v>668</v>
      </c>
      <c r="G107" s="149" t="s">
        <v>314</v>
      </c>
      <c r="H107" s="150" t="s">
        <v>315</v>
      </c>
      <c r="I107" s="148" t="s">
        <v>755</v>
      </c>
    </row>
    <row r="108" spans="2:31">
      <c r="B108" s="34" t="s">
        <v>153</v>
      </c>
      <c r="C108" s="177"/>
      <c r="D108" s="77"/>
      <c r="E108" s="77"/>
      <c r="F108" s="35"/>
      <c r="G108" s="35"/>
      <c r="K108" t="s">
        <v>698</v>
      </c>
      <c r="L108" s="277" t="s">
        <v>773</v>
      </c>
      <c r="M108" s="277" t="s">
        <v>774</v>
      </c>
      <c r="N108" s="277" t="s">
        <v>795</v>
      </c>
    </row>
    <row r="109" spans="2:31">
      <c r="B109" t="s">
        <v>154</v>
      </c>
      <c r="C109" s="177" t="s">
        <v>378</v>
      </c>
      <c r="D109" s="155">
        <f>-$AF$62+$AG$63</f>
        <v>23400</v>
      </c>
      <c r="E109" s="155">
        <v>20600</v>
      </c>
      <c r="F109" s="155">
        <v>22000</v>
      </c>
      <c r="G109" s="155">
        <f>D109-F109</f>
        <v>1400</v>
      </c>
      <c r="H109" s="151">
        <f>IF(F109=0,"---",G109/F109)</f>
        <v>6.363636363636363E-2</v>
      </c>
      <c r="I109" s="155">
        <f>200*150</f>
        <v>30000</v>
      </c>
      <c r="K109" s="155">
        <v>200</v>
      </c>
      <c r="L109" s="155">
        <f>D109/K109</f>
        <v>117</v>
      </c>
      <c r="M109" s="155">
        <f>F109/K109</f>
        <v>110</v>
      </c>
      <c r="N109" s="289">
        <v>2013</v>
      </c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</row>
    <row r="110" spans="2:31">
      <c r="B110" t="s">
        <v>618</v>
      </c>
      <c r="C110" s="177"/>
      <c r="D110" s="155">
        <f>-$AJ$62+$AK$63</f>
        <v>26804.99</v>
      </c>
      <c r="E110" s="155">
        <v>26401.24</v>
      </c>
      <c r="F110" s="155">
        <v>25000</v>
      </c>
      <c r="G110" s="155">
        <f>D110-F110</f>
        <v>1804.9900000000016</v>
      </c>
      <c r="H110" s="151">
        <f>IF(F110=0,"---",G110/F110)</f>
        <v>7.2199600000000058E-2</v>
      </c>
      <c r="I110" s="155">
        <v>27000</v>
      </c>
      <c r="J110" s="155"/>
      <c r="K110" s="155">
        <v>200</v>
      </c>
      <c r="L110" s="155">
        <f>E109/K110</f>
        <v>103</v>
      </c>
      <c r="M110" s="155">
        <f>F109/K110</f>
        <v>110</v>
      </c>
      <c r="N110" s="289">
        <v>2012</v>
      </c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</row>
    <row r="111" spans="2:31">
      <c r="B111" s="79" t="s">
        <v>355</v>
      </c>
      <c r="C111" s="177" t="s">
        <v>379</v>
      </c>
      <c r="D111" s="155">
        <f>-$AN$62+$AO$63</f>
        <v>4448</v>
      </c>
      <c r="E111" s="155">
        <v>0</v>
      </c>
      <c r="F111" s="155">
        <v>0</v>
      </c>
      <c r="G111" s="155">
        <f>D111-F111</f>
        <v>4448</v>
      </c>
      <c r="H111" s="151" t="str">
        <f>IF(F111=0,"---",G111/F111)</f>
        <v>---</v>
      </c>
      <c r="I111" s="155">
        <v>0</v>
      </c>
      <c r="J111" s="155"/>
      <c r="K111" s="155"/>
      <c r="L111" s="155"/>
      <c r="M111" s="155"/>
      <c r="N111" s="289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</row>
    <row r="112" spans="2:31" ht="16.5" thickBot="1">
      <c r="B112" s="154" t="s">
        <v>158</v>
      </c>
      <c r="C112" s="306"/>
      <c r="D112" s="156">
        <f>SUM(D109:D111)</f>
        <v>54652.990000000005</v>
      </c>
      <c r="E112" s="156">
        <f>SUM(E109:E111)</f>
        <v>47001.240000000005</v>
      </c>
      <c r="F112" s="156">
        <f>SUM(F109:F111)</f>
        <v>47000</v>
      </c>
      <c r="G112" s="156">
        <f>SUM(G109:G111)</f>
        <v>7652.9900000000016</v>
      </c>
      <c r="H112" s="153">
        <f>IF(F112=0,"---",G112/F112)</f>
        <v>0.16282957446808513</v>
      </c>
      <c r="I112" s="156">
        <f>SUM(I109:I111)</f>
        <v>57000</v>
      </c>
      <c r="J112" s="160"/>
      <c r="K112" s="160">
        <v>200</v>
      </c>
      <c r="L112" s="160"/>
      <c r="M112" s="160">
        <f>I109/K112</f>
        <v>150</v>
      </c>
      <c r="N112" s="290">
        <v>2014</v>
      </c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</row>
    <row r="113" spans="2:31" ht="13.5" thickTop="1">
      <c r="C113" s="177"/>
      <c r="D113" s="77"/>
      <c r="E113" s="77"/>
      <c r="F113" s="77"/>
      <c r="G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</row>
    <row r="114" spans="2:31">
      <c r="B114" s="34" t="s">
        <v>159</v>
      </c>
      <c r="C114" s="177"/>
      <c r="D114" s="77"/>
      <c r="E114" s="77"/>
      <c r="F114" s="77"/>
      <c r="G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</row>
    <row r="115" spans="2:31">
      <c r="B115" t="s">
        <v>485</v>
      </c>
      <c r="C115" s="177" t="s">
        <v>380</v>
      </c>
      <c r="D115" s="155">
        <f>$H$62-$I$63</f>
        <v>5000</v>
      </c>
      <c r="E115" s="155">
        <v>5000</v>
      </c>
      <c r="F115" s="155">
        <v>10000</v>
      </c>
      <c r="G115" s="155">
        <f>D115-F115</f>
        <v>-5000</v>
      </c>
      <c r="H115" s="151">
        <f t="shared" ref="H115:H126" si="2">IF(F115=0,"---",G115/F115)</f>
        <v>-0.5</v>
      </c>
      <c r="I115" s="155">
        <v>10000</v>
      </c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</row>
    <row r="116" spans="2:31">
      <c r="B116" t="s">
        <v>488</v>
      </c>
      <c r="C116" s="177" t="s">
        <v>428</v>
      </c>
      <c r="D116" s="155">
        <f>$L$62-$M$63</f>
        <v>11293</v>
      </c>
      <c r="E116" s="155">
        <v>4599</v>
      </c>
      <c r="F116" s="155">
        <v>10000</v>
      </c>
      <c r="G116" s="155">
        <f t="shared" ref="G116:G124" si="3">D116-F116</f>
        <v>1293</v>
      </c>
      <c r="H116" s="151">
        <f t="shared" si="2"/>
        <v>0.1293</v>
      </c>
      <c r="I116" s="155">
        <v>5000</v>
      </c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</row>
    <row r="117" spans="2:31">
      <c r="B117" t="s">
        <v>163</v>
      </c>
      <c r="C117" s="177" t="s">
        <v>430</v>
      </c>
      <c r="D117" s="155">
        <f>$N$62-$O$63</f>
        <v>5985</v>
      </c>
      <c r="E117" s="155">
        <v>7658.32</v>
      </c>
      <c r="F117" s="155">
        <v>10000</v>
      </c>
      <c r="G117" s="155">
        <f t="shared" si="3"/>
        <v>-4015</v>
      </c>
      <c r="H117" s="151">
        <f t="shared" si="2"/>
        <v>-0.40150000000000002</v>
      </c>
      <c r="I117" s="155">
        <v>10000</v>
      </c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</row>
    <row r="118" spans="2:31">
      <c r="B118" s="277" t="s">
        <v>637</v>
      </c>
      <c r="C118" s="177" t="s">
        <v>486</v>
      </c>
      <c r="D118" s="155">
        <f>$AD$62-$AE$63</f>
        <v>341.6</v>
      </c>
      <c r="E118" s="155">
        <v>12504</v>
      </c>
      <c r="F118" s="155">
        <v>5000</v>
      </c>
      <c r="G118" s="155">
        <f>D118-F118</f>
        <v>-4658.3999999999996</v>
      </c>
      <c r="H118" s="151">
        <f>IF(F118=0,"---",G118/F118)</f>
        <v>-0.93167999999999995</v>
      </c>
      <c r="I118" s="155">
        <v>10000</v>
      </c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</row>
    <row r="119" spans="2:31">
      <c r="B119" s="277" t="s">
        <v>684</v>
      </c>
      <c r="C119" s="177" t="s">
        <v>501</v>
      </c>
      <c r="D119" s="155">
        <f>$AB$62-$AC$63</f>
        <v>4337</v>
      </c>
      <c r="E119" s="155">
        <v>8783.01</v>
      </c>
      <c r="F119" s="155">
        <v>5000</v>
      </c>
      <c r="G119" s="155">
        <f>D119-F119</f>
        <v>-663</v>
      </c>
      <c r="H119" s="151">
        <f>IF(F119=0,"---",G119/F119)</f>
        <v>-0.1326</v>
      </c>
      <c r="I119" s="155">
        <v>125000</v>
      </c>
      <c r="J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</row>
    <row r="120" spans="2:31">
      <c r="B120" t="s">
        <v>166</v>
      </c>
      <c r="C120" s="177" t="s">
        <v>502</v>
      </c>
      <c r="D120" s="155">
        <f>$T$62-$U$63</f>
        <v>1338.5</v>
      </c>
      <c r="E120" s="155">
        <v>2688.3</v>
      </c>
      <c r="F120" s="155">
        <v>5000</v>
      </c>
      <c r="G120" s="155">
        <f t="shared" si="3"/>
        <v>-3661.5</v>
      </c>
      <c r="H120" s="151">
        <f t="shared" si="2"/>
        <v>-0.73229999999999995</v>
      </c>
      <c r="I120" s="155">
        <v>3000</v>
      </c>
      <c r="J120" s="155"/>
      <c r="K120" s="155">
        <f>M112*6</f>
        <v>900</v>
      </c>
      <c r="L120" s="155" t="s">
        <v>696</v>
      </c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</row>
    <row r="121" spans="2:31">
      <c r="B121" t="s">
        <v>170</v>
      </c>
      <c r="C121" s="177"/>
      <c r="D121" s="155">
        <f>$X$62-$Y$63</f>
        <v>235</v>
      </c>
      <c r="E121" s="155">
        <v>235</v>
      </c>
      <c r="F121" s="155">
        <v>235</v>
      </c>
      <c r="G121" s="155">
        <f t="shared" si="3"/>
        <v>0</v>
      </c>
      <c r="H121" s="151">
        <f t="shared" si="2"/>
        <v>0</v>
      </c>
      <c r="I121" s="155">
        <v>250</v>
      </c>
      <c r="J121" s="155"/>
      <c r="K121" s="282">
        <v>500</v>
      </c>
      <c r="L121" s="282" t="s">
        <v>697</v>
      </c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</row>
    <row r="122" spans="2:31">
      <c r="B122" s="277" t="s">
        <v>694</v>
      </c>
      <c r="C122" s="177"/>
      <c r="D122" s="155">
        <f>$P$62-$Q$63</f>
        <v>1118</v>
      </c>
      <c r="E122" s="155">
        <v>0</v>
      </c>
      <c r="F122" s="155">
        <v>1200</v>
      </c>
      <c r="G122" s="155">
        <f>D122-F122</f>
        <v>-82</v>
      </c>
      <c r="H122" s="151">
        <f>IF(F122=0,"---",G122/F122)</f>
        <v>-6.8333333333333329E-2</v>
      </c>
      <c r="I122" s="155">
        <v>1500</v>
      </c>
      <c r="J122" s="155"/>
      <c r="K122" s="155">
        <f>K120+K121</f>
        <v>1400</v>
      </c>
      <c r="L122" s="155" t="s">
        <v>699</v>
      </c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</row>
    <row r="123" spans="2:31">
      <c r="B123" t="s">
        <v>95</v>
      </c>
      <c r="C123" s="177"/>
      <c r="D123" s="155">
        <f>$R$62-$S$63</f>
        <v>2754</v>
      </c>
      <c r="E123" s="155">
        <v>2822</v>
      </c>
      <c r="F123" s="155">
        <v>2850</v>
      </c>
      <c r="G123" s="155">
        <f>D123-F123</f>
        <v>-96</v>
      </c>
      <c r="H123" s="151">
        <f>IF(F123=0,"---",G123/F123)</f>
        <v>-3.3684210526315789E-2</v>
      </c>
      <c r="I123" s="155">
        <v>2800</v>
      </c>
      <c r="J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</row>
    <row r="124" spans="2:31">
      <c r="B124" t="s">
        <v>169</v>
      </c>
      <c r="C124" s="177"/>
      <c r="D124" s="155">
        <f>$V$62-$W$63</f>
        <v>2500</v>
      </c>
      <c r="E124" s="155">
        <v>2500</v>
      </c>
      <c r="F124" s="155">
        <v>2500</v>
      </c>
      <c r="G124" s="155">
        <f t="shared" si="3"/>
        <v>0</v>
      </c>
      <c r="H124" s="151">
        <f t="shared" si="2"/>
        <v>0</v>
      </c>
      <c r="I124" s="155">
        <v>2500</v>
      </c>
      <c r="J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</row>
    <row r="125" spans="2:31">
      <c r="B125" t="s">
        <v>427</v>
      </c>
      <c r="C125" s="177" t="s">
        <v>506</v>
      </c>
      <c r="D125" s="155">
        <f>$Z$62-$AA$63</f>
        <v>0</v>
      </c>
      <c r="E125" s="155">
        <v>0</v>
      </c>
      <c r="F125" s="155">
        <v>0</v>
      </c>
      <c r="G125" s="155">
        <f>D125-F125</f>
        <v>0</v>
      </c>
      <c r="H125" s="151" t="str">
        <f>IF(F125=0,"---",G125/F125)</f>
        <v>---</v>
      </c>
      <c r="I125" s="155">
        <v>0</v>
      </c>
      <c r="J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</row>
    <row r="126" spans="2:31" ht="16.5" thickBot="1">
      <c r="B126" s="154" t="s">
        <v>171</v>
      </c>
      <c r="C126" s="306"/>
      <c r="D126" s="156">
        <f>SUM(D115:D125)</f>
        <v>34902.1</v>
      </c>
      <c r="E126" s="156">
        <f>SUM(E115:E125)</f>
        <v>46789.630000000005</v>
      </c>
      <c r="F126" s="156">
        <f>SUM(F115:F125)</f>
        <v>51785</v>
      </c>
      <c r="G126" s="156">
        <f>SUM(G115:G125)</f>
        <v>-16882.900000000001</v>
      </c>
      <c r="H126" s="153">
        <f t="shared" si="2"/>
        <v>-0.32601911750506907</v>
      </c>
      <c r="I126" s="156">
        <f>SUM(I115:I125)</f>
        <v>170050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</row>
    <row r="127" spans="2:31" ht="13.5" thickTop="1">
      <c r="C127" s="1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</row>
    <row r="128" spans="2:31" ht="16.5" thickBot="1">
      <c r="B128" s="154" t="s">
        <v>141</v>
      </c>
      <c r="C128" s="306"/>
      <c r="D128" s="156">
        <f>D112-D126</f>
        <v>19750.890000000007</v>
      </c>
      <c r="E128" s="156">
        <f>E112-E126</f>
        <v>211.61000000000058</v>
      </c>
      <c r="F128" s="156">
        <f>F112-F126</f>
        <v>-4785</v>
      </c>
      <c r="G128" s="156">
        <f>G112-G126</f>
        <v>24535.890000000003</v>
      </c>
      <c r="H128" s="153">
        <f>IF(F128=0,"---",G128/F128)</f>
        <v>-5.1276677115987468</v>
      </c>
      <c r="I128" s="156">
        <f>I112-I126</f>
        <v>-113050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</row>
    <row r="129" spans="2:31" ht="13.5" thickTop="1">
      <c r="C129" s="177"/>
      <c r="D129" s="77"/>
      <c r="E129" s="77"/>
      <c r="F129" s="77"/>
      <c r="G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</row>
    <row r="130" spans="2:31">
      <c r="B130" s="34" t="s">
        <v>172</v>
      </c>
      <c r="C130" s="177" t="s">
        <v>644</v>
      </c>
      <c r="D130" s="77"/>
      <c r="E130" s="77"/>
      <c r="F130" s="77"/>
      <c r="G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</row>
    <row r="131" spans="2:31">
      <c r="B131" t="s">
        <v>691</v>
      </c>
      <c r="C131" s="177"/>
      <c r="D131" s="155">
        <f>D228</f>
        <v>3931.6996409063813</v>
      </c>
      <c r="E131" s="155">
        <v>3905</v>
      </c>
      <c r="F131" s="155">
        <f>SUM(F110:F110)*0.2</f>
        <v>5000</v>
      </c>
      <c r="G131" s="155">
        <f>D131-F131</f>
        <v>-1068.3003590936187</v>
      </c>
      <c r="H131" s="151">
        <f>IF(F131=0,"---",G131/F131)</f>
        <v>-0.21366007181872373</v>
      </c>
      <c r="I131" s="155">
        <f>SUM(I110:I110)*0.2</f>
        <v>5400</v>
      </c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</row>
    <row r="132" spans="2:31">
      <c r="B132" t="s">
        <v>693</v>
      </c>
      <c r="C132" s="177"/>
      <c r="D132" s="155">
        <f>D128-D131</f>
        <v>15819.190359093625</v>
      </c>
      <c r="E132" s="155">
        <v>-3693.3899999999994</v>
      </c>
      <c r="F132" s="155">
        <f>F128-F131</f>
        <v>-9785</v>
      </c>
      <c r="G132" s="155">
        <f>D132-F132</f>
        <v>25604.190359093627</v>
      </c>
      <c r="H132" s="151">
        <f>IF(F132=0,"---",G132/F132)</f>
        <v>-2.6166776044040496</v>
      </c>
      <c r="I132" s="155">
        <f>I128-I131</f>
        <v>-118450</v>
      </c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</row>
    <row r="133" spans="2:31" ht="16.5" thickBot="1">
      <c r="B133" s="154" t="s">
        <v>175</v>
      </c>
      <c r="C133" s="306"/>
      <c r="D133" s="156">
        <f>SUM(D131:D132)</f>
        <v>19750.890000000007</v>
      </c>
      <c r="E133" s="156">
        <f>SUM(E131:E132)</f>
        <v>211.61000000000058</v>
      </c>
      <c r="F133" s="156">
        <f>SUM(F131:F132)</f>
        <v>-4785</v>
      </c>
      <c r="G133" s="156">
        <f>D133-F133</f>
        <v>24535.890000000007</v>
      </c>
      <c r="H133" s="153">
        <f>IF(F133=0,"---",G133/F133)</f>
        <v>-5.1276677115987477</v>
      </c>
      <c r="I133" s="156">
        <f>SUM(I131:I132)</f>
        <v>-113050</v>
      </c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</row>
    <row r="134" spans="2:31" ht="13.5" thickTop="1"/>
    <row r="135" spans="2:31" ht="13.5" thickBot="1">
      <c r="F135" s="113"/>
    </row>
    <row r="136" spans="2:31">
      <c r="B136" s="297" t="s">
        <v>821</v>
      </c>
      <c r="C136" s="298"/>
      <c r="D136" s="299">
        <f>ROUND(D88-D102,0)</f>
        <v>0</v>
      </c>
      <c r="E136" s="304" t="str">
        <f>IF(D136=0,"OK","Feil")</f>
        <v>OK</v>
      </c>
      <c r="F136" s="113"/>
    </row>
    <row r="137" spans="2:31" ht="13.5" thickBot="1">
      <c r="B137" s="300" t="s">
        <v>822</v>
      </c>
      <c r="C137" s="28"/>
      <c r="D137" s="301">
        <f>ROUND(D99-E99-D133,0)</f>
        <v>0</v>
      </c>
      <c r="E137" s="305" t="str">
        <f>IF(D137=0,"OK","Feil")</f>
        <v>OK</v>
      </c>
      <c r="F137" s="113"/>
    </row>
    <row r="138" spans="2:31">
      <c r="F138" s="77"/>
    </row>
    <row r="139" spans="2:31">
      <c r="F139" s="77"/>
    </row>
    <row r="140" spans="2:31">
      <c r="F140" s="77"/>
    </row>
    <row r="141" spans="2:31" ht="24.75">
      <c r="B141" s="147" t="s">
        <v>826</v>
      </c>
      <c r="D141" s="77"/>
      <c r="F141" s="77"/>
    </row>
    <row r="142" spans="2:31">
      <c r="B142" s="34"/>
      <c r="D142" s="77"/>
      <c r="F142" s="77"/>
    </row>
    <row r="143" spans="2:31">
      <c r="B143" s="279" t="s">
        <v>794</v>
      </c>
      <c r="C143" s="277" t="s">
        <v>799</v>
      </c>
      <c r="D143" s="77"/>
      <c r="F143" s="77"/>
    </row>
    <row r="144" spans="2:31">
      <c r="B144" s="277" t="s">
        <v>245</v>
      </c>
      <c r="C144">
        <v>110</v>
      </c>
      <c r="D144" s="77">
        <f>C144*200</f>
        <v>22000</v>
      </c>
      <c r="F144" s="77"/>
    </row>
    <row r="145" spans="2:6">
      <c r="B145" s="277" t="s">
        <v>773</v>
      </c>
      <c r="C145">
        <v>117</v>
      </c>
      <c r="D145" s="77">
        <f>C145*200</f>
        <v>23400</v>
      </c>
      <c r="F145" s="77"/>
    </row>
    <row r="146" spans="2:6">
      <c r="B146" s="277"/>
      <c r="D146" s="77"/>
      <c r="F146" s="77"/>
    </row>
    <row r="147" spans="2:6">
      <c r="B147" s="279" t="s">
        <v>828</v>
      </c>
      <c r="C147" s="177">
        <v>150</v>
      </c>
      <c r="D147" s="77">
        <f>C147*200</f>
        <v>30000</v>
      </c>
      <c r="F147" s="77"/>
    </row>
    <row r="148" spans="2:6">
      <c r="B148" s="177"/>
      <c r="C148" s="177"/>
      <c r="D148" s="77"/>
      <c r="F148" s="77"/>
    </row>
    <row r="149" spans="2:6">
      <c r="D149" s="77"/>
      <c r="F149" s="77"/>
    </row>
    <row r="150" spans="2:6">
      <c r="B150" s="279" t="s">
        <v>796</v>
      </c>
      <c r="D150" s="77"/>
      <c r="F150" s="77"/>
    </row>
    <row r="151" spans="2:6" ht="13.5" thickBot="1">
      <c r="B151" s="287" t="s">
        <v>782</v>
      </c>
      <c r="C151" s="266"/>
      <c r="D151" s="175">
        <v>4448</v>
      </c>
      <c r="F151" s="77"/>
    </row>
    <row r="152" spans="2:6" ht="13.5" thickTop="1">
      <c r="D152" s="77"/>
      <c r="F152" s="77"/>
    </row>
    <row r="153" spans="2:6">
      <c r="D153" s="77"/>
      <c r="F153" s="77"/>
    </row>
    <row r="154" spans="2:6">
      <c r="B154" s="279" t="s">
        <v>797</v>
      </c>
      <c r="D154" s="77"/>
      <c r="F154" s="77"/>
    </row>
    <row r="155" spans="2:6">
      <c r="B155" s="277" t="s">
        <v>674</v>
      </c>
      <c r="D155" s="288">
        <v>5000</v>
      </c>
      <c r="F155" s="77"/>
    </row>
    <row r="156" spans="2:6" ht="13.5" thickBot="1">
      <c r="B156" s="199" t="s">
        <v>197</v>
      </c>
      <c r="C156" s="266"/>
      <c r="D156" s="175">
        <f>SUM(D155)</f>
        <v>5000</v>
      </c>
      <c r="F156" s="77"/>
    </row>
    <row r="157" spans="2:6" ht="13.5" thickTop="1">
      <c r="D157" s="77"/>
      <c r="F157" s="77"/>
    </row>
    <row r="158" spans="2:6">
      <c r="B158" s="279" t="s">
        <v>828</v>
      </c>
      <c r="D158" s="77"/>
      <c r="F158" s="77"/>
    </row>
    <row r="159" spans="2:6">
      <c r="B159" s="277" t="s">
        <v>674</v>
      </c>
      <c r="D159" s="77">
        <v>5000</v>
      </c>
      <c r="F159" s="77"/>
    </row>
    <row r="160" spans="2:6">
      <c r="B160" s="291" t="s">
        <v>798</v>
      </c>
      <c r="C160" s="30"/>
      <c r="D160" s="292">
        <v>5000</v>
      </c>
      <c r="F160" s="77"/>
    </row>
    <row r="161" spans="2:6">
      <c r="B161" s="277"/>
      <c r="C161" s="34" t="s">
        <v>197</v>
      </c>
      <c r="D161" s="294">
        <f>SUM(D159:D160)</f>
        <v>10000</v>
      </c>
      <c r="F161" s="77"/>
    </row>
    <row r="162" spans="2:6">
      <c r="B162" s="277"/>
      <c r="C162" s="34"/>
      <c r="D162" s="294"/>
      <c r="F162" s="77"/>
    </row>
    <row r="163" spans="2:6">
      <c r="D163" s="77"/>
      <c r="F163" s="77"/>
    </row>
    <row r="164" spans="2:6">
      <c r="B164" s="279" t="s">
        <v>800</v>
      </c>
      <c r="C164" s="82"/>
      <c r="D164" s="201"/>
      <c r="E164" s="65"/>
    </row>
    <row r="165" spans="2:6">
      <c r="B165" s="277" t="s">
        <v>675</v>
      </c>
      <c r="C165" s="82"/>
      <c r="D165" s="64">
        <v>-1890</v>
      </c>
      <c r="E165" s="64"/>
      <c r="F165" s="77"/>
    </row>
    <row r="166" spans="2:6">
      <c r="B166" s="277" t="s">
        <v>676</v>
      </c>
      <c r="C166" s="82"/>
      <c r="D166" s="64">
        <f>838+6800</f>
        <v>7638</v>
      </c>
      <c r="E166" s="64"/>
      <c r="F166" s="77"/>
    </row>
    <row r="167" spans="2:6">
      <c r="B167" s="277" t="s">
        <v>784</v>
      </c>
      <c r="C167" s="82"/>
      <c r="D167" s="64">
        <v>1045</v>
      </c>
      <c r="E167" s="64"/>
      <c r="F167" s="77"/>
    </row>
    <row r="168" spans="2:6">
      <c r="B168" s="265" t="s">
        <v>628</v>
      </c>
      <c r="C168" s="82"/>
      <c r="D168" s="64">
        <v>500</v>
      </c>
      <c r="E168" s="64"/>
      <c r="F168" s="77"/>
    </row>
    <row r="169" spans="2:6">
      <c r="B169" s="265" t="s">
        <v>629</v>
      </c>
      <c r="C169" s="82"/>
      <c r="D169" s="64">
        <v>4000</v>
      </c>
      <c r="E169" s="64"/>
      <c r="F169" s="77"/>
    </row>
    <row r="170" spans="2:6" ht="13.5" thickBot="1">
      <c r="B170" s="199" t="s">
        <v>197</v>
      </c>
      <c r="C170" s="200"/>
      <c r="D170" s="175">
        <f>SUM(D165:D169)</f>
        <v>11293</v>
      </c>
      <c r="F170" s="77"/>
    </row>
    <row r="171" spans="2:6" ht="13.5" thickTop="1">
      <c r="B171" s="34"/>
      <c r="C171" s="34"/>
      <c r="D171" s="77"/>
      <c r="F171" s="77"/>
    </row>
    <row r="172" spans="2:6">
      <c r="B172" s="279" t="s">
        <v>828</v>
      </c>
      <c r="C172" s="34"/>
      <c r="D172" s="77"/>
      <c r="F172" s="77"/>
    </row>
    <row r="173" spans="2:6">
      <c r="B173" s="277" t="s">
        <v>801</v>
      </c>
      <c r="C173" s="34"/>
      <c r="D173" s="77">
        <v>0</v>
      </c>
      <c r="F173" s="77"/>
    </row>
    <row r="174" spans="2:6">
      <c r="B174" s="291" t="s">
        <v>802</v>
      </c>
      <c r="C174" s="293"/>
      <c r="D174" s="292">
        <v>5000</v>
      </c>
      <c r="F174" s="77"/>
    </row>
    <row r="175" spans="2:6">
      <c r="B175" s="34"/>
      <c r="C175" s="34" t="s">
        <v>197</v>
      </c>
      <c r="D175" s="294">
        <f>SUM(D173:D174)</f>
        <v>5000</v>
      </c>
      <c r="F175" s="77"/>
    </row>
    <row r="176" spans="2:6">
      <c r="B176" s="34"/>
      <c r="C176" s="34"/>
      <c r="D176" s="294"/>
      <c r="F176" s="77"/>
    </row>
    <row r="177" spans="2:31">
      <c r="D177" s="77"/>
      <c r="F177" s="77"/>
    </row>
    <row r="178" spans="2:31">
      <c r="B178" s="279" t="s">
        <v>803</v>
      </c>
      <c r="D178" s="77"/>
    </row>
    <row r="179" spans="2:31">
      <c r="B179" s="265" t="s">
        <v>630</v>
      </c>
      <c r="D179" s="77"/>
    </row>
    <row r="180" spans="2:31">
      <c r="B180" s="278" t="s">
        <v>631</v>
      </c>
      <c r="C180" s="82"/>
      <c r="D180" s="64">
        <v>5336</v>
      </c>
    </row>
    <row r="181" spans="2:31">
      <c r="B181" s="277" t="s">
        <v>677</v>
      </c>
      <c r="C181" s="82"/>
      <c r="D181" s="64">
        <v>649</v>
      </c>
    </row>
    <row r="182" spans="2:31" ht="13.5" thickBot="1">
      <c r="B182" s="199" t="s">
        <v>197</v>
      </c>
      <c r="C182" s="200"/>
      <c r="D182" s="175">
        <f>SUM(D179:D181)</f>
        <v>5985</v>
      </c>
    </row>
    <row r="183" spans="2:31" ht="13.5" thickTop="1">
      <c r="B183" s="265"/>
      <c r="D183" s="77"/>
    </row>
    <row r="184" spans="2:31">
      <c r="B184" s="279" t="s">
        <v>828</v>
      </c>
      <c r="D184" s="77"/>
    </row>
    <row r="185" spans="2:31">
      <c r="B185" s="277" t="s">
        <v>804</v>
      </c>
      <c r="C185" s="34" t="s">
        <v>197</v>
      </c>
      <c r="D185" s="294">
        <v>10000</v>
      </c>
    </row>
    <row r="186" spans="2:31">
      <c r="B186" s="265"/>
      <c r="D186" s="77"/>
    </row>
    <row r="187" spans="2:31">
      <c r="B187" s="265"/>
      <c r="D187" s="77"/>
    </row>
    <row r="188" spans="2:31">
      <c r="B188" s="279" t="s">
        <v>805</v>
      </c>
      <c r="D188" s="77"/>
    </row>
    <row r="189" spans="2:31">
      <c r="B189" s="277" t="s">
        <v>785</v>
      </c>
      <c r="D189" s="77">
        <v>341</v>
      </c>
    </row>
    <row r="190" spans="2:31" ht="13.5" thickBot="1">
      <c r="B190" s="199" t="s">
        <v>197</v>
      </c>
      <c r="C190" s="200"/>
      <c r="D190" s="175">
        <f>SUM(D189:D189)</f>
        <v>341</v>
      </c>
      <c r="F190" s="34"/>
      <c r="G190" s="82"/>
      <c r="H190" s="82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</row>
    <row r="191" spans="2:31" ht="13.5" thickTop="1">
      <c r="D191" s="77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</row>
    <row r="192" spans="2:31">
      <c r="B192" s="279" t="s">
        <v>828</v>
      </c>
      <c r="D192" s="77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</row>
    <row r="193" spans="2:31">
      <c r="B193" s="277" t="s">
        <v>827</v>
      </c>
      <c r="C193" s="34" t="s">
        <v>197</v>
      </c>
      <c r="D193" s="294">
        <v>10000</v>
      </c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</row>
    <row r="194" spans="2:31">
      <c r="D194" s="77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</row>
    <row r="195" spans="2:31">
      <c r="D195" s="77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</row>
    <row r="196" spans="2:31">
      <c r="B196" s="279" t="s">
        <v>806</v>
      </c>
      <c r="D196" s="77"/>
    </row>
    <row r="197" spans="2:31">
      <c r="B197" s="277" t="s">
        <v>787</v>
      </c>
      <c r="D197" s="77">
        <v>4337</v>
      </c>
    </row>
    <row r="198" spans="2:31" ht="13.5" thickBot="1">
      <c r="B198" s="199" t="s">
        <v>197</v>
      </c>
      <c r="C198" s="200"/>
      <c r="D198" s="175">
        <f>SUM(D197:D197)</f>
        <v>4337</v>
      </c>
      <c r="F198" s="34"/>
      <c r="G198" s="82"/>
      <c r="H198" s="82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</row>
    <row r="199" spans="2:31" ht="13.5" thickTop="1"/>
    <row r="200" spans="2:31">
      <c r="B200" s="279" t="s">
        <v>828</v>
      </c>
    </row>
    <row r="201" spans="2:31">
      <c r="B201" s="277" t="s">
        <v>807</v>
      </c>
      <c r="D201" s="288">
        <v>110000</v>
      </c>
    </row>
    <row r="202" spans="2:31">
      <c r="B202" s="291" t="s">
        <v>808</v>
      </c>
      <c r="C202" s="30"/>
      <c r="D202" s="295">
        <v>15000</v>
      </c>
    </row>
    <row r="203" spans="2:31">
      <c r="C203" s="34" t="s">
        <v>197</v>
      </c>
      <c r="D203" s="296">
        <f>SUM(D201:D202)</f>
        <v>125000</v>
      </c>
    </row>
    <row r="204" spans="2:31">
      <c r="C204" s="34"/>
      <c r="D204" s="296"/>
    </row>
    <row r="206" spans="2:31">
      <c r="B206" s="279" t="s">
        <v>809</v>
      </c>
      <c r="D206" s="77"/>
    </row>
    <row r="207" spans="2:31">
      <c r="B207" s="277" t="s">
        <v>679</v>
      </c>
      <c r="D207" s="77">
        <v>44.5</v>
      </c>
    </row>
    <row r="208" spans="2:31">
      <c r="B208" s="277" t="s">
        <v>680</v>
      </c>
      <c r="D208" s="77">
        <v>1294</v>
      </c>
    </row>
    <row r="209" spans="2:31" ht="13.5" thickBot="1">
      <c r="B209" s="199" t="s">
        <v>197</v>
      </c>
      <c r="C209" s="200"/>
      <c r="D209" s="175">
        <f>SUM(D207:D208)</f>
        <v>1338.5</v>
      </c>
      <c r="F209" s="34"/>
      <c r="G209" s="82"/>
      <c r="H209" s="82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spans="2:31" ht="13.5" thickTop="1">
      <c r="D210" s="77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spans="2:31">
      <c r="B211" s="279" t="s">
        <v>828</v>
      </c>
      <c r="D211" s="77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2:31">
      <c r="B212" s="277" t="s">
        <v>810</v>
      </c>
      <c r="C212" s="34" t="s">
        <v>197</v>
      </c>
      <c r="D212" s="294">
        <v>3000</v>
      </c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</row>
    <row r="213" spans="2:31">
      <c r="D213" s="77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</row>
    <row r="214" spans="2:31">
      <c r="D214" s="77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</row>
    <row r="215" spans="2:31">
      <c r="B215" s="279" t="s">
        <v>811</v>
      </c>
    </row>
    <row r="216" spans="2:31">
      <c r="B216" t="s">
        <v>639</v>
      </c>
    </row>
    <row r="217" spans="2:31">
      <c r="B217" t="s">
        <v>640</v>
      </c>
    </row>
    <row r="218" spans="2:31">
      <c r="B218" s="277" t="s">
        <v>682</v>
      </c>
    </row>
    <row r="221" spans="2:31">
      <c r="B221" s="279" t="s">
        <v>812</v>
      </c>
    </row>
    <row r="222" spans="2:31">
      <c r="B222" s="277" t="s">
        <v>830</v>
      </c>
      <c r="D222" s="77">
        <f>D128</f>
        <v>19750.890000000007</v>
      </c>
    </row>
    <row r="223" spans="2:31">
      <c r="B223" s="279"/>
    </row>
    <row r="224" spans="2:31">
      <c r="B224" t="s">
        <v>702</v>
      </c>
      <c r="D224" s="77">
        <v>972158.74</v>
      </c>
    </row>
    <row r="225" spans="2:31">
      <c r="B225" t="s">
        <v>704</v>
      </c>
      <c r="C225" s="283">
        <f>D225/D224</f>
        <v>0.73350880947693786</v>
      </c>
      <c r="D225" s="77">
        <v>713087</v>
      </c>
    </row>
    <row r="226" spans="2:31">
      <c r="B226" s="30" t="s">
        <v>705</v>
      </c>
      <c r="C226" s="30"/>
      <c r="D226" s="292">
        <v>26800.63</v>
      </c>
    </row>
    <row r="227" spans="2:31">
      <c r="B227" s="277" t="s">
        <v>829</v>
      </c>
      <c r="D227" s="94">
        <f>D226*C225</f>
        <v>19658.498204531905</v>
      </c>
    </row>
    <row r="228" spans="2:31" ht="13.5" thickBot="1">
      <c r="B228" s="199" t="s">
        <v>831</v>
      </c>
      <c r="C228" s="199"/>
      <c r="D228" s="175">
        <f>D227*0.2</f>
        <v>3931.6996409063813</v>
      </c>
    </row>
    <row r="229" spans="2:31" ht="13.5" thickTop="1">
      <c r="B229" s="33"/>
      <c r="C229" s="33"/>
      <c r="D229" s="65"/>
    </row>
    <row r="230" spans="2:31" ht="13.5" thickBot="1">
      <c r="B230" s="307" t="s">
        <v>832</v>
      </c>
      <c r="C230" s="307"/>
      <c r="D230" s="308">
        <f>D222-D228</f>
        <v>15819.190359093625</v>
      </c>
    </row>
    <row r="233" spans="2:31">
      <c r="B233" s="279" t="s">
        <v>813</v>
      </c>
      <c r="D233" s="77"/>
    </row>
    <row r="234" spans="2:31">
      <c r="B234" s="277" t="s">
        <v>814</v>
      </c>
      <c r="D234" s="77">
        <f>3368.41+407.3</f>
        <v>3775.71</v>
      </c>
    </row>
    <row r="235" spans="2:31">
      <c r="B235" s="277" t="s">
        <v>815</v>
      </c>
      <c r="D235" s="77">
        <v>1800</v>
      </c>
    </row>
    <row r="236" spans="2:31" ht="13.5" thickBot="1">
      <c r="B236" s="199" t="s">
        <v>197</v>
      </c>
      <c r="C236" s="200"/>
      <c r="D236" s="175">
        <f>SUM(D234:D235)</f>
        <v>5575.71</v>
      </c>
    </row>
    <row r="237" spans="2:31" ht="13.5" thickTop="1"/>
    <row r="239" spans="2:31">
      <c r="B239" s="279" t="s">
        <v>816</v>
      </c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</row>
    <row r="240" spans="2:31">
      <c r="B240" s="79" t="s">
        <v>574</v>
      </c>
      <c r="D240" s="77">
        <v>950000</v>
      </c>
    </row>
    <row r="241" spans="2:4">
      <c r="B241" s="79" t="s">
        <v>575</v>
      </c>
    </row>
    <row r="242" spans="2:4">
      <c r="B242" s="79" t="s">
        <v>576</v>
      </c>
    </row>
    <row r="243" spans="2:4">
      <c r="B243" s="79" t="s">
        <v>577</v>
      </c>
    </row>
    <row r="245" spans="2:4">
      <c r="B245" s="79" t="s">
        <v>586</v>
      </c>
      <c r="D245" s="77">
        <v>112480</v>
      </c>
    </row>
    <row r="246" spans="2:4" s="254" customFormat="1">
      <c r="B246" s="79" t="s">
        <v>587</v>
      </c>
    </row>
    <row r="247" spans="2:4">
      <c r="B247" s="79" t="s">
        <v>578</v>
      </c>
    </row>
    <row r="249" spans="2:4">
      <c r="B249" s="79" t="s">
        <v>585</v>
      </c>
      <c r="D249" s="77">
        <v>5000</v>
      </c>
    </row>
    <row r="250" spans="2:4">
      <c r="B250" s="79" t="s">
        <v>579</v>
      </c>
    </row>
    <row r="251" spans="2:4">
      <c r="B251" s="79" t="s">
        <v>580</v>
      </c>
    </row>
    <row r="252" spans="2:4" ht="13.5" thickBot="1">
      <c r="B252" s="199" t="s">
        <v>197</v>
      </c>
      <c r="C252" s="255"/>
      <c r="D252" s="175">
        <v>1067480</v>
      </c>
    </row>
    <row r="253" spans="2:4" ht="13.5" thickTop="1">
      <c r="B253" s="256"/>
      <c r="D253" s="77"/>
    </row>
    <row r="255" spans="2:4">
      <c r="B255" s="279" t="s">
        <v>817</v>
      </c>
    </row>
    <row r="256" spans="2:4">
      <c r="B256" s="277" t="s">
        <v>818</v>
      </c>
      <c r="D256">
        <v>1284</v>
      </c>
    </row>
    <row r="257" spans="2:4">
      <c r="B257" s="277" t="s">
        <v>819</v>
      </c>
      <c r="C257" s="37"/>
      <c r="D257" s="37">
        <v>2029</v>
      </c>
    </row>
    <row r="258" spans="2:4" ht="13.5" thickBot="1">
      <c r="B258" s="270" t="s">
        <v>197</v>
      </c>
      <c r="C258" s="266"/>
      <c r="D258" s="286">
        <f>SUM(D256:D257)</f>
        <v>3313</v>
      </c>
    </row>
    <row r="259" spans="2:4" ht="13.5" thickTop="1"/>
    <row r="261" spans="2:4">
      <c r="B261" s="279" t="s">
        <v>820</v>
      </c>
      <c r="C261" s="302"/>
    </row>
    <row r="262" spans="2:4">
      <c r="B262" s="277" t="s">
        <v>688</v>
      </c>
      <c r="D262" s="294">
        <v>1067480</v>
      </c>
    </row>
    <row r="263" spans="2:4">
      <c r="B263" s="277"/>
      <c r="D263" s="77"/>
    </row>
    <row r="264" spans="2:4">
      <c r="B264" s="303" t="s">
        <v>824</v>
      </c>
      <c r="C264" s="77">
        <f>E97</f>
        <v>713087</v>
      </c>
    </row>
    <row r="265" spans="2:4">
      <c r="B265" s="302" t="s">
        <v>825</v>
      </c>
      <c r="C265" s="77">
        <f>D131</f>
        <v>3931.6996409063813</v>
      </c>
      <c r="D265" s="294">
        <f>C264+C265</f>
        <v>717018.69964090642</v>
      </c>
    </row>
    <row r="266" spans="2:4">
      <c r="B266" s="277"/>
      <c r="D266" s="77"/>
    </row>
    <row r="267" spans="2:4">
      <c r="B267" s="277" t="s">
        <v>823</v>
      </c>
      <c r="C267" s="77">
        <f>E98</f>
        <v>250285.68</v>
      </c>
    </row>
    <row r="268" spans="2:4">
      <c r="B268" s="302" t="s">
        <v>825</v>
      </c>
      <c r="C268" s="77">
        <f>D132</f>
        <v>15819.190359093625</v>
      </c>
      <c r="D268" s="294">
        <f>C267+C268</f>
        <v>266104.87035909359</v>
      </c>
    </row>
    <row r="269" spans="2:4">
      <c r="B269" s="277"/>
      <c r="D269" s="77"/>
    </row>
    <row r="270" spans="2:4" ht="13.5" thickBot="1">
      <c r="B270" s="199" t="s">
        <v>197</v>
      </c>
      <c r="C270" s="200"/>
      <c r="D270" s="175">
        <f>SUM(D262:D269)</f>
        <v>2050603.57</v>
      </c>
    </row>
    <row r="271" spans="2:4" ht="13.5" thickTop="1"/>
    <row r="292" spans="2:4">
      <c r="D292" s="77"/>
    </row>
    <row r="293" spans="2:4">
      <c r="B293" s="177"/>
      <c r="D293" s="77"/>
    </row>
    <row r="294" spans="2:4">
      <c r="B294" s="34"/>
      <c r="D294" s="77"/>
    </row>
    <row r="295" spans="2:4">
      <c r="D295" s="77"/>
    </row>
    <row r="296" spans="2:4">
      <c r="D296" s="77"/>
    </row>
  </sheetData>
  <mergeCells count="67">
    <mergeCell ref="X5:Y5"/>
    <mergeCell ref="A1:C1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N6:O6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D6:E6"/>
    <mergeCell ref="F6:G6"/>
    <mergeCell ref="H6:I6"/>
    <mergeCell ref="J6:K6"/>
    <mergeCell ref="L6:M6"/>
    <mergeCell ref="Z6:AA6"/>
    <mergeCell ref="BJ5:BK5"/>
    <mergeCell ref="BL5:BM5"/>
    <mergeCell ref="BN5:BO5"/>
    <mergeCell ref="BP5:BQ5"/>
    <mergeCell ref="BF5:BG5"/>
    <mergeCell ref="BH5:BI5"/>
    <mergeCell ref="AJ5:AK5"/>
    <mergeCell ref="AX6:AY6"/>
    <mergeCell ref="AB6:AC6"/>
    <mergeCell ref="AD6:AE6"/>
    <mergeCell ref="AF6:AG6"/>
    <mergeCell ref="AH6:AI6"/>
    <mergeCell ref="AJ6:AK6"/>
    <mergeCell ref="AL6:AM6"/>
    <mergeCell ref="AN6:AO6"/>
    <mergeCell ref="P6:Q6"/>
    <mergeCell ref="R6:S6"/>
    <mergeCell ref="T6:U6"/>
    <mergeCell ref="V6:W6"/>
    <mergeCell ref="X6:Y6"/>
    <mergeCell ref="AP6:AQ6"/>
    <mergeCell ref="AR6:AS6"/>
    <mergeCell ref="AT6:AU6"/>
    <mergeCell ref="AV6:AW6"/>
    <mergeCell ref="BL6:BM6"/>
    <mergeCell ref="BN6:BO6"/>
    <mergeCell ref="BP6:BQ6"/>
    <mergeCell ref="AZ6:BA6"/>
    <mergeCell ref="BB6:BC6"/>
    <mergeCell ref="BD6:BE6"/>
    <mergeCell ref="BF6:BG6"/>
    <mergeCell ref="BH6:BI6"/>
    <mergeCell ref="BJ6:BK6"/>
  </mergeCells>
  <conditionalFormatting sqref="E136:E137">
    <cfRule type="cellIs" dxfId="1" priority="1" operator="equal">
      <formula>"Feil"</formula>
    </cfRule>
    <cfRule type="cellIs" dxfId="0" priority="2" operator="equal">
      <formula>"OK"</formula>
    </cfRule>
  </conditionalFormatting>
  <pageMargins left="0.78740157499999996" right="0.78740157499999996" top="1" bottom="1" header="0.5" footer="0.5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57"/>
  <sheetViews>
    <sheetView workbookViewId="0">
      <pane xSplit="3" ySplit="6" topLeftCell="D95" activePane="bottomRight" state="frozen"/>
      <selection pane="topRight" activeCell="D1" sqref="D1"/>
      <selection pane="bottomLeft" activeCell="A7" sqref="A7"/>
      <selection pane="bottomRight" activeCell="A38" sqref="A38:XFD38"/>
    </sheetView>
  </sheetViews>
  <sheetFormatPr baseColWidth="10" defaultColWidth="11.42578125" defaultRowHeight="12.75"/>
  <cols>
    <col min="1" max="1" width="10.140625" bestFit="1" customWidth="1"/>
    <col min="2" max="2" width="33.42578125" customWidth="1"/>
    <col min="3" max="3" width="7.85546875" customWidth="1"/>
    <col min="4" max="5" width="12.7109375" customWidth="1"/>
    <col min="6" max="6" width="16.7109375" bestFit="1" customWidth="1"/>
    <col min="7" max="8" width="12.7109375" customWidth="1"/>
    <col min="9" max="9" width="16.140625" bestFit="1" customWidth="1"/>
    <col min="10" max="71" width="12.7109375" customWidth="1"/>
  </cols>
  <sheetData>
    <row r="1" spans="1:256" s="37" customFormat="1" ht="21" thickBot="1">
      <c r="A1" s="572" t="s">
        <v>661</v>
      </c>
      <c r="B1" s="573"/>
      <c r="C1" s="574"/>
    </row>
    <row r="2" spans="1:256" s="37" customFormat="1">
      <c r="A2" s="240" t="s">
        <v>510</v>
      </c>
      <c r="B2" s="209"/>
      <c r="C2" s="209"/>
    </row>
    <row r="3" spans="1:256" s="37" customFormat="1">
      <c r="A3" s="241" t="s">
        <v>153</v>
      </c>
      <c r="B3" s="210"/>
      <c r="C3" s="210"/>
    </row>
    <row r="4" spans="1:256" s="37" customFormat="1" ht="13.5" thickBot="1">
      <c r="A4" s="242" t="s">
        <v>159</v>
      </c>
      <c r="B4" s="210"/>
      <c r="C4" s="210"/>
      <c r="H4" s="37">
        <v>6100</v>
      </c>
      <c r="L4" s="37">
        <v>6200</v>
      </c>
      <c r="N4" s="37">
        <v>6300</v>
      </c>
      <c r="R4" s="37">
        <v>6400</v>
      </c>
      <c r="T4" s="37">
        <v>6500</v>
      </c>
      <c r="V4" s="37">
        <v>6600</v>
      </c>
      <c r="X4" s="37">
        <v>6700</v>
      </c>
      <c r="AB4" s="37">
        <v>6800</v>
      </c>
      <c r="AD4" s="37">
        <v>6900</v>
      </c>
    </row>
    <row r="5" spans="1:256" s="208" customFormat="1">
      <c r="A5" s="228" t="s">
        <v>20</v>
      </c>
      <c r="B5" s="229" t="s">
        <v>0</v>
      </c>
      <c r="C5" s="230" t="s">
        <v>1</v>
      </c>
      <c r="D5" s="564" t="s">
        <v>672</v>
      </c>
      <c r="E5" s="564"/>
      <c r="F5" s="564" t="s">
        <v>650</v>
      </c>
      <c r="G5" s="564"/>
      <c r="H5" s="566" t="s">
        <v>328</v>
      </c>
      <c r="I5" s="566"/>
      <c r="J5" s="566" t="s">
        <v>672</v>
      </c>
      <c r="K5" s="566"/>
      <c r="L5" s="566" t="s">
        <v>477</v>
      </c>
      <c r="M5" s="566"/>
      <c r="N5" s="566" t="s">
        <v>163</v>
      </c>
      <c r="O5" s="566"/>
      <c r="P5" s="566" t="s">
        <v>94</v>
      </c>
      <c r="Q5" s="566"/>
      <c r="R5" s="566" t="s">
        <v>95</v>
      </c>
      <c r="S5" s="566"/>
      <c r="T5" s="566" t="s">
        <v>336</v>
      </c>
      <c r="U5" s="566"/>
      <c r="V5" s="567">
        <v>39585</v>
      </c>
      <c r="W5" s="566"/>
      <c r="X5" s="566" t="s">
        <v>338</v>
      </c>
      <c r="Y5" s="566"/>
      <c r="Z5" s="566" t="s">
        <v>468</v>
      </c>
      <c r="AA5" s="566"/>
      <c r="AB5" s="566" t="s">
        <v>684</v>
      </c>
      <c r="AC5" s="566"/>
      <c r="AD5" s="566" t="s">
        <v>386</v>
      </c>
      <c r="AE5" s="566"/>
      <c r="AF5" s="568" t="s">
        <v>6</v>
      </c>
      <c r="AG5" s="568"/>
      <c r="AH5" s="564" t="s">
        <v>607</v>
      </c>
      <c r="AI5" s="564"/>
      <c r="AJ5" s="568" t="s">
        <v>331</v>
      </c>
      <c r="AK5" s="568"/>
      <c r="AL5" s="568" t="s">
        <v>672</v>
      </c>
      <c r="AM5" s="568"/>
      <c r="AN5" s="568" t="s">
        <v>355</v>
      </c>
      <c r="AO5" s="568"/>
      <c r="AP5" s="564" t="s">
        <v>9</v>
      </c>
      <c r="AQ5" s="564"/>
      <c r="AR5" s="564" t="s">
        <v>468</v>
      </c>
      <c r="AS5" s="564"/>
      <c r="AT5" s="564" t="s">
        <v>520</v>
      </c>
      <c r="AU5" s="564"/>
      <c r="AV5" s="564" t="s">
        <v>518</v>
      </c>
      <c r="AW5" s="564"/>
      <c r="AX5" s="564" t="s">
        <v>516</v>
      </c>
      <c r="AY5" s="564"/>
      <c r="AZ5" s="564" t="s">
        <v>514</v>
      </c>
      <c r="BA5" s="564"/>
      <c r="BB5" s="564" t="s">
        <v>512</v>
      </c>
      <c r="BC5" s="564"/>
      <c r="BD5" s="564" t="s">
        <v>513</v>
      </c>
      <c r="BE5" s="564"/>
      <c r="BF5" s="565" t="s">
        <v>671</v>
      </c>
      <c r="BG5" s="576"/>
      <c r="BH5" s="564" t="s">
        <v>282</v>
      </c>
      <c r="BI5" s="564"/>
      <c r="BJ5" s="564" t="s">
        <v>282</v>
      </c>
      <c r="BK5" s="564"/>
      <c r="BL5" s="564" t="s">
        <v>423</v>
      </c>
      <c r="BM5" s="564"/>
      <c r="BN5" s="564" t="s">
        <v>30</v>
      </c>
      <c r="BO5" s="564"/>
      <c r="BP5" s="564" t="s">
        <v>32</v>
      </c>
      <c r="BQ5" s="564"/>
    </row>
    <row r="6" spans="1:256" s="208" customFormat="1">
      <c r="A6" s="231"/>
      <c r="B6" s="252"/>
      <c r="C6" s="227" t="s">
        <v>16</v>
      </c>
      <c r="D6" s="559"/>
      <c r="E6" s="559"/>
      <c r="F6" s="559" t="s">
        <v>249</v>
      </c>
      <c r="G6" s="559"/>
      <c r="H6" s="563" t="s">
        <v>329</v>
      </c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 t="s">
        <v>337</v>
      </c>
      <c r="U6" s="563"/>
      <c r="V6" s="563"/>
      <c r="W6" s="563"/>
      <c r="X6" s="563"/>
      <c r="Y6" s="563"/>
      <c r="Z6" s="563" t="s">
        <v>685</v>
      </c>
      <c r="AA6" s="563"/>
      <c r="AB6" s="563"/>
      <c r="AC6" s="563"/>
      <c r="AD6" s="563" t="s">
        <v>686</v>
      </c>
      <c r="AE6" s="563"/>
      <c r="AF6" s="562"/>
      <c r="AG6" s="562"/>
      <c r="AH6" s="559" t="s">
        <v>608</v>
      </c>
      <c r="AI6" s="559"/>
      <c r="AJ6" s="562" t="s">
        <v>650</v>
      </c>
      <c r="AK6" s="562"/>
      <c r="AL6" s="562"/>
      <c r="AM6" s="562"/>
      <c r="AN6" s="562"/>
      <c r="AO6" s="562"/>
      <c r="AP6" s="559" t="s">
        <v>521</v>
      </c>
      <c r="AQ6" s="559"/>
      <c r="AR6" s="559" t="s">
        <v>470</v>
      </c>
      <c r="AS6" s="559"/>
      <c r="AT6" s="559" t="s">
        <v>519</v>
      </c>
      <c r="AU6" s="559"/>
      <c r="AV6" s="559" t="s">
        <v>519</v>
      </c>
      <c r="AW6" s="559"/>
      <c r="AX6" s="559" t="s">
        <v>517</v>
      </c>
      <c r="AY6" s="559"/>
      <c r="AZ6" s="559" t="s">
        <v>515</v>
      </c>
      <c r="BA6" s="559"/>
      <c r="BB6" s="559" t="s">
        <v>511</v>
      </c>
      <c r="BC6" s="559"/>
      <c r="BD6" s="559"/>
      <c r="BE6" s="559"/>
      <c r="BF6" s="560"/>
      <c r="BG6" s="575"/>
      <c r="BH6" s="559" t="s">
        <v>284</v>
      </c>
      <c r="BI6" s="559"/>
      <c r="BJ6" s="559" t="s">
        <v>283</v>
      </c>
      <c r="BK6" s="559"/>
      <c r="BL6" s="559" t="s">
        <v>424</v>
      </c>
      <c r="BM6" s="559"/>
      <c r="BN6" s="559"/>
      <c r="BO6" s="559"/>
      <c r="BP6" s="559"/>
      <c r="BQ6" s="559"/>
    </row>
    <row r="7" spans="1:256" s="226" customFormat="1">
      <c r="A7" s="232"/>
      <c r="B7" s="222"/>
      <c r="C7" s="223"/>
      <c r="D7" s="224" t="s">
        <v>28</v>
      </c>
      <c r="E7" s="225" t="s">
        <v>29</v>
      </c>
      <c r="F7" s="224" t="s">
        <v>28</v>
      </c>
      <c r="G7" s="225" t="s">
        <v>29</v>
      </c>
      <c r="H7" s="224" t="s">
        <v>28</v>
      </c>
      <c r="I7" s="225" t="s">
        <v>29</v>
      </c>
      <c r="J7" s="224" t="s">
        <v>28</v>
      </c>
      <c r="K7" s="225" t="s">
        <v>29</v>
      </c>
      <c r="L7" s="224" t="s">
        <v>28</v>
      </c>
      <c r="M7" s="225" t="s">
        <v>29</v>
      </c>
      <c r="N7" s="224" t="s">
        <v>28</v>
      </c>
      <c r="O7" s="225" t="s">
        <v>29</v>
      </c>
      <c r="P7" s="224" t="s">
        <v>28</v>
      </c>
      <c r="Q7" s="225" t="s">
        <v>29</v>
      </c>
      <c r="R7" s="224" t="s">
        <v>28</v>
      </c>
      <c r="S7" s="225" t="s">
        <v>29</v>
      </c>
      <c r="T7" s="224" t="s">
        <v>28</v>
      </c>
      <c r="U7" s="225" t="s">
        <v>29</v>
      </c>
      <c r="V7" s="224" t="s">
        <v>28</v>
      </c>
      <c r="W7" s="225" t="s">
        <v>29</v>
      </c>
      <c r="X7" s="224" t="s">
        <v>28</v>
      </c>
      <c r="Y7" s="225" t="s">
        <v>29</v>
      </c>
      <c r="Z7" s="224" t="s">
        <v>28</v>
      </c>
      <c r="AA7" s="225" t="s">
        <v>29</v>
      </c>
      <c r="AB7" s="224" t="s">
        <v>28</v>
      </c>
      <c r="AC7" s="225" t="s">
        <v>29</v>
      </c>
      <c r="AD7" s="224" t="s">
        <v>28</v>
      </c>
      <c r="AE7" s="225" t="s">
        <v>29</v>
      </c>
      <c r="AF7" s="224" t="s">
        <v>28</v>
      </c>
      <c r="AG7" s="225" t="s">
        <v>29</v>
      </c>
      <c r="AH7" s="224" t="s">
        <v>28</v>
      </c>
      <c r="AI7" s="225" t="s">
        <v>29</v>
      </c>
      <c r="AJ7" s="224" t="s">
        <v>28</v>
      </c>
      <c r="AK7" s="225" t="s">
        <v>29</v>
      </c>
      <c r="AL7" s="224" t="s">
        <v>28</v>
      </c>
      <c r="AM7" s="225" t="s">
        <v>29</v>
      </c>
      <c r="AN7" s="224" t="s">
        <v>28</v>
      </c>
      <c r="AO7" s="225" t="s">
        <v>29</v>
      </c>
      <c r="AP7" s="224" t="s">
        <v>28</v>
      </c>
      <c r="AQ7" s="225" t="s">
        <v>29</v>
      </c>
      <c r="AR7" s="224" t="s">
        <v>28</v>
      </c>
      <c r="AS7" s="225" t="s">
        <v>29</v>
      </c>
      <c r="AT7" s="224" t="s">
        <v>28</v>
      </c>
      <c r="AU7" s="225" t="s">
        <v>29</v>
      </c>
      <c r="AV7" s="224" t="s">
        <v>28</v>
      </c>
      <c r="AW7" s="225" t="s">
        <v>29</v>
      </c>
      <c r="AX7" s="224" t="s">
        <v>28</v>
      </c>
      <c r="AY7" s="225" t="s">
        <v>29</v>
      </c>
      <c r="AZ7" s="224" t="s">
        <v>28</v>
      </c>
      <c r="BA7" s="225" t="s">
        <v>29</v>
      </c>
      <c r="BB7" s="224" t="s">
        <v>28</v>
      </c>
      <c r="BC7" s="225" t="s">
        <v>29</v>
      </c>
      <c r="BD7" s="224" t="s">
        <v>28</v>
      </c>
      <c r="BE7" s="225" t="s">
        <v>29</v>
      </c>
      <c r="BF7" s="224" t="s">
        <v>28</v>
      </c>
      <c r="BG7" s="225" t="s">
        <v>29</v>
      </c>
      <c r="BH7" s="224" t="s">
        <v>28</v>
      </c>
      <c r="BI7" s="225" t="s">
        <v>29</v>
      </c>
      <c r="BJ7" s="224" t="s">
        <v>28</v>
      </c>
      <c r="BK7" s="225" t="s">
        <v>29</v>
      </c>
      <c r="BL7" s="224" t="s">
        <v>28</v>
      </c>
      <c r="BM7" s="225" t="s">
        <v>29</v>
      </c>
      <c r="BN7" s="224" t="s">
        <v>28</v>
      </c>
      <c r="BO7" s="225" t="s">
        <v>29</v>
      </c>
      <c r="BP7" s="224" t="s">
        <v>28</v>
      </c>
      <c r="BQ7" s="225" t="s">
        <v>29</v>
      </c>
    </row>
    <row r="8" spans="1:256" s="34" customFormat="1">
      <c r="A8" s="247">
        <v>40909</v>
      </c>
      <c r="B8" s="248" t="s">
        <v>752</v>
      </c>
      <c r="C8" s="249"/>
      <c r="D8" s="250">
        <v>0</v>
      </c>
      <c r="E8" s="251"/>
      <c r="F8" s="250">
        <v>110705.31999999995</v>
      </c>
      <c r="G8" s="251"/>
      <c r="H8" s="250"/>
      <c r="I8" s="251"/>
      <c r="J8" s="250"/>
      <c r="K8" s="251"/>
      <c r="L8" s="250"/>
      <c r="M8" s="251"/>
      <c r="N8" s="250"/>
      <c r="O8" s="251"/>
      <c r="P8" s="250"/>
      <c r="Q8" s="251"/>
      <c r="R8" s="250"/>
      <c r="S8" s="251"/>
      <c r="T8" s="250"/>
      <c r="U8" s="251"/>
      <c r="V8" s="250"/>
      <c r="W8" s="251"/>
      <c r="X8" s="250"/>
      <c r="Y8" s="251"/>
      <c r="Z8" s="250"/>
      <c r="AA8" s="251"/>
      <c r="AB8" s="250"/>
      <c r="AC8" s="251"/>
      <c r="AD8" s="250"/>
      <c r="AE8" s="251"/>
      <c r="AF8" s="250"/>
      <c r="AG8" s="251"/>
      <c r="AH8" s="250">
        <v>857690.75</v>
      </c>
      <c r="AI8" s="251"/>
      <c r="AJ8" s="250"/>
      <c r="AK8" s="251"/>
      <c r="AL8" s="250"/>
      <c r="AM8" s="251"/>
      <c r="AN8" s="250"/>
      <c r="AO8" s="251"/>
      <c r="AP8" s="250"/>
      <c r="AQ8" s="251"/>
      <c r="AR8" s="250">
        <v>0</v>
      </c>
      <c r="AS8" s="251"/>
      <c r="AT8" s="250">
        <v>950000</v>
      </c>
      <c r="AU8" s="251"/>
      <c r="AV8" s="250">
        <v>112480</v>
      </c>
      <c r="AW8" s="251"/>
      <c r="AX8" s="250">
        <v>5000</v>
      </c>
      <c r="AY8" s="251"/>
      <c r="AZ8" s="250"/>
      <c r="BA8" s="251">
        <v>1067480</v>
      </c>
      <c r="BB8" s="250"/>
      <c r="BC8" s="251">
        <v>709182</v>
      </c>
      <c r="BD8" s="250"/>
      <c r="BE8" s="251">
        <v>253979.07</v>
      </c>
      <c r="BF8" s="250">
        <v>0</v>
      </c>
      <c r="BG8" s="251"/>
      <c r="BH8" s="250">
        <v>0</v>
      </c>
      <c r="BI8" s="251"/>
      <c r="BJ8" s="250">
        <v>0</v>
      </c>
      <c r="BK8" s="251"/>
      <c r="BL8" s="250">
        <v>0</v>
      </c>
      <c r="BM8" s="251"/>
      <c r="BN8" s="250"/>
      <c r="BO8" s="251">
        <v>5235</v>
      </c>
      <c r="BP8" s="250">
        <v>0</v>
      </c>
      <c r="BQ8" s="251"/>
      <c r="BR8" s="243">
        <f t="shared" ref="BR8:BR39" si="0">D8-E8+F8-G8+H8-I8+J8-K8+L8-M8+N8-O8+P8-Q8+R8-S8+T8-U8+V8-W8+X8-Y8+Z8-AA8+AB8-AC8+AD8-AE8+AF8-AG8+AH8-AI8+AJ8-AK8+AL8-AM8+AN8-AO8+AP8-AQ8+AR8-AS8+AT8-AU8+AV8-AW8+AX8-AY8+AZ8-BA8+BB8-BC8+BD8-BE8+BF8-BG8+BH8-BI8+BJ8-BK8+BL8-BM8+BN8-BO8+BP8-BQ8</f>
        <v>-1.7462298274040222E-10</v>
      </c>
      <c r="BS8" s="244"/>
      <c r="BT8" s="244"/>
    </row>
    <row r="9" spans="1:256" s="79" customFormat="1">
      <c r="A9" s="233"/>
      <c r="B9" s="257"/>
      <c r="C9" s="186"/>
      <c r="D9" s="212"/>
      <c r="E9" s="213"/>
      <c r="F9" s="212"/>
      <c r="G9" s="213"/>
      <c r="H9" s="212"/>
      <c r="I9" s="213"/>
      <c r="J9" s="212"/>
      <c r="K9" s="213"/>
      <c r="L9" s="212"/>
      <c r="M9" s="213"/>
      <c r="N9" s="212"/>
      <c r="O9" s="213"/>
      <c r="P9" s="212"/>
      <c r="Q9" s="213"/>
      <c r="R9" s="212"/>
      <c r="S9" s="213"/>
      <c r="T9" s="212"/>
      <c r="U9" s="213"/>
      <c r="V9" s="212"/>
      <c r="W9" s="213"/>
      <c r="X9" s="212"/>
      <c r="Y9" s="213"/>
      <c r="Z9" s="212"/>
      <c r="AA9" s="213"/>
      <c r="AB9" s="212"/>
      <c r="AC9" s="213"/>
      <c r="AD9" s="212"/>
      <c r="AE9" s="213"/>
      <c r="AF9" s="212"/>
      <c r="AG9" s="213"/>
      <c r="AH9" s="212"/>
      <c r="AI9" s="213"/>
      <c r="AJ9" s="212"/>
      <c r="AK9" s="213"/>
      <c r="AL9" s="212"/>
      <c r="AM9" s="213"/>
      <c r="AN9" s="212"/>
      <c r="AO9" s="213"/>
      <c r="AP9" s="212"/>
      <c r="AQ9" s="213"/>
      <c r="AR9" s="212"/>
      <c r="AS9" s="213"/>
      <c r="AT9" s="212"/>
      <c r="AU9" s="213"/>
      <c r="AV9" s="212"/>
      <c r="AW9" s="213"/>
      <c r="AX9" s="212"/>
      <c r="AY9" s="213"/>
      <c r="AZ9" s="212"/>
      <c r="BA9" s="213"/>
      <c r="BB9" s="212"/>
      <c r="BC9" s="213"/>
      <c r="BD9" s="212"/>
      <c r="BE9" s="213"/>
      <c r="BF9" s="212"/>
      <c r="BG9" s="213"/>
      <c r="BH9" s="212"/>
      <c r="BI9" s="213"/>
      <c r="BJ9" s="212"/>
      <c r="BK9" s="213"/>
      <c r="BL9" s="212"/>
      <c r="BM9" s="213"/>
      <c r="BN9" s="212"/>
      <c r="BO9" s="213"/>
      <c r="BP9" s="212"/>
      <c r="BQ9" s="213"/>
      <c r="BR9" s="193">
        <f t="shared" si="0"/>
        <v>0</v>
      </c>
      <c r="BS9" s="194"/>
      <c r="BT9" s="194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79" customFormat="1">
      <c r="A10" s="260">
        <v>40911</v>
      </c>
      <c r="B10" s="262" t="s">
        <v>268</v>
      </c>
      <c r="C10" s="285" t="s">
        <v>715</v>
      </c>
      <c r="D10" s="214"/>
      <c r="E10" s="215"/>
      <c r="F10" s="214"/>
      <c r="G10" s="215">
        <v>9</v>
      </c>
      <c r="H10" s="214"/>
      <c r="I10" s="215"/>
      <c r="J10" s="214"/>
      <c r="K10" s="215"/>
      <c r="L10" s="214"/>
      <c r="M10" s="215"/>
      <c r="N10" s="214"/>
      <c r="O10" s="215"/>
      <c r="P10" s="214"/>
      <c r="Q10" s="215"/>
      <c r="R10" s="214"/>
      <c r="S10" s="215"/>
      <c r="T10" s="214">
        <v>9</v>
      </c>
      <c r="U10" s="215"/>
      <c r="V10" s="214"/>
      <c r="W10" s="215"/>
      <c r="X10" s="214"/>
      <c r="Y10" s="215"/>
      <c r="Z10" s="214"/>
      <c r="AA10" s="215"/>
      <c r="AB10" s="214"/>
      <c r="AC10" s="215"/>
      <c r="AD10" s="214"/>
      <c r="AE10" s="215"/>
      <c r="AF10" s="214"/>
      <c r="AG10" s="215"/>
      <c r="AH10" s="214"/>
      <c r="AI10" s="215"/>
      <c r="AJ10" s="214"/>
      <c r="AK10" s="215"/>
      <c r="AL10" s="214"/>
      <c r="AM10" s="215"/>
      <c r="AN10" s="214"/>
      <c r="AO10" s="215"/>
      <c r="AP10" s="214"/>
      <c r="AQ10" s="215"/>
      <c r="AR10" s="214"/>
      <c r="AS10" s="215"/>
      <c r="AT10" s="214"/>
      <c r="AU10" s="215"/>
      <c r="AV10" s="214"/>
      <c r="AW10" s="215"/>
      <c r="AX10" s="214"/>
      <c r="AY10" s="215"/>
      <c r="AZ10" s="214"/>
      <c r="BA10" s="215"/>
      <c r="BB10" s="214"/>
      <c r="BC10" s="215"/>
      <c r="BD10" s="214"/>
      <c r="BE10" s="215"/>
      <c r="BF10" s="214"/>
      <c r="BG10" s="215"/>
      <c r="BH10" s="214"/>
      <c r="BI10" s="215"/>
      <c r="BJ10" s="214"/>
      <c r="BK10" s="215"/>
      <c r="BL10" s="214"/>
      <c r="BM10" s="215"/>
      <c r="BN10" s="214"/>
      <c r="BO10" s="215"/>
      <c r="BP10" s="214"/>
      <c r="BQ10" s="215"/>
      <c r="BR10" s="193">
        <f t="shared" si="0"/>
        <v>0</v>
      </c>
      <c r="BS10" s="194"/>
      <c r="BT10" s="194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79" customFormat="1">
      <c r="A11" s="261">
        <v>40917</v>
      </c>
      <c r="B11" s="273" t="s">
        <v>594</v>
      </c>
      <c r="C11" s="284" t="s">
        <v>716</v>
      </c>
      <c r="D11" s="214"/>
      <c r="E11" s="215"/>
      <c r="F11" s="214">
        <v>1901</v>
      </c>
      <c r="G11" s="215"/>
      <c r="H11" s="214"/>
      <c r="I11" s="215"/>
      <c r="J11" s="214"/>
      <c r="K11" s="215"/>
      <c r="L11" s="214"/>
      <c r="M11" s="215">
        <v>1901</v>
      </c>
      <c r="N11" s="214"/>
      <c r="O11" s="215"/>
      <c r="P11" s="214"/>
      <c r="Q11" s="215"/>
      <c r="R11" s="214"/>
      <c r="S11" s="215"/>
      <c r="T11" s="214"/>
      <c r="U11" s="215"/>
      <c r="V11" s="214"/>
      <c r="W11" s="215"/>
      <c r="X11" s="214"/>
      <c r="Y11" s="215"/>
      <c r="Z11" s="214"/>
      <c r="AA11" s="215"/>
      <c r="AB11" s="214"/>
      <c r="AC11" s="215"/>
      <c r="AD11" s="214"/>
      <c r="AE11" s="215"/>
      <c r="AF11" s="214"/>
      <c r="AG11" s="215"/>
      <c r="AH11" s="214"/>
      <c r="AI11" s="215"/>
      <c r="AJ11" s="214"/>
      <c r="AK11" s="215"/>
      <c r="AL11" s="214"/>
      <c r="AM11" s="215"/>
      <c r="AN11" s="214"/>
      <c r="AO11" s="215"/>
      <c r="AP11" s="214"/>
      <c r="AQ11" s="215"/>
      <c r="AR11" s="214"/>
      <c r="AS11" s="215"/>
      <c r="AT11" s="214"/>
      <c r="AU11" s="215"/>
      <c r="AV11" s="214"/>
      <c r="AW11" s="215"/>
      <c r="AX11" s="214"/>
      <c r="AY11" s="215"/>
      <c r="AZ11" s="214"/>
      <c r="BA11" s="215"/>
      <c r="BB11" s="214"/>
      <c r="BC11" s="215"/>
      <c r="BD11" s="214"/>
      <c r="BE11" s="215"/>
      <c r="BF11" s="214"/>
      <c r="BG11" s="215"/>
      <c r="BH11" s="214"/>
      <c r="BI11" s="215"/>
      <c r="BJ11" s="214"/>
      <c r="BK11" s="215"/>
      <c r="BL11" s="214"/>
      <c r="BM11" s="215"/>
      <c r="BN11" s="214"/>
      <c r="BO11" s="215"/>
      <c r="BP11" s="214"/>
      <c r="BQ11" s="215"/>
      <c r="BR11" s="193">
        <f t="shared" si="0"/>
        <v>0</v>
      </c>
      <c r="BS11" s="194"/>
      <c r="BT11" s="194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79" customFormat="1">
      <c r="A12" s="233">
        <v>40952</v>
      </c>
      <c r="B12" s="257" t="s">
        <v>591</v>
      </c>
      <c r="C12" s="285" t="s">
        <v>717</v>
      </c>
      <c r="D12" s="212"/>
      <c r="E12" s="213"/>
      <c r="F12" s="212">
        <v>200</v>
      </c>
      <c r="G12" s="259"/>
      <c r="H12" s="212"/>
      <c r="I12" s="213"/>
      <c r="J12" s="212"/>
      <c r="K12" s="213"/>
      <c r="L12" s="212"/>
      <c r="M12" s="21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  <c r="Z12" s="212"/>
      <c r="AA12" s="213"/>
      <c r="AB12" s="212"/>
      <c r="AC12" s="213"/>
      <c r="AD12" s="212"/>
      <c r="AE12" s="213"/>
      <c r="AF12" s="212"/>
      <c r="AG12" s="213">
        <v>200</v>
      </c>
      <c r="AH12" s="212"/>
      <c r="AI12" s="213"/>
      <c r="AJ12" s="212"/>
      <c r="AK12" s="213"/>
      <c r="AL12" s="212"/>
      <c r="AM12" s="213"/>
      <c r="AN12" s="212"/>
      <c r="AO12" s="213"/>
      <c r="AP12" s="212"/>
      <c r="AQ12" s="213"/>
      <c r="AR12" s="212"/>
      <c r="AS12" s="213"/>
      <c r="AT12" s="212"/>
      <c r="AU12" s="213"/>
      <c r="AV12" s="212"/>
      <c r="AW12" s="213"/>
      <c r="AX12" s="212"/>
      <c r="AY12" s="213"/>
      <c r="AZ12" s="212"/>
      <c r="BA12" s="213"/>
      <c r="BB12" s="212"/>
      <c r="BC12" s="213"/>
      <c r="BD12" s="212"/>
      <c r="BE12" s="213"/>
      <c r="BF12" s="212"/>
      <c r="BG12" s="213"/>
      <c r="BH12" s="212"/>
      <c r="BI12" s="213"/>
      <c r="BJ12" s="212"/>
      <c r="BK12" s="213"/>
      <c r="BL12" s="212"/>
      <c r="BM12" s="213"/>
      <c r="BN12" s="212"/>
      <c r="BO12" s="213"/>
      <c r="BP12" s="212"/>
      <c r="BQ12" s="213"/>
      <c r="BR12" s="193">
        <f t="shared" si="0"/>
        <v>0</v>
      </c>
      <c r="BS12" s="194"/>
      <c r="BT12" s="194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79" customFormat="1">
      <c r="A13" s="233">
        <v>40959</v>
      </c>
      <c r="B13" s="273" t="s">
        <v>652</v>
      </c>
      <c r="C13" s="284" t="s">
        <v>718</v>
      </c>
      <c r="D13" s="212"/>
      <c r="E13" s="213"/>
      <c r="F13" s="212"/>
      <c r="G13" s="213">
        <v>6500</v>
      </c>
      <c r="H13" s="212"/>
      <c r="I13" s="213"/>
      <c r="J13" s="212"/>
      <c r="K13" s="213"/>
      <c r="L13" s="212">
        <v>6500</v>
      </c>
      <c r="M13" s="213"/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  <c r="Z13" s="212"/>
      <c r="AA13" s="213"/>
      <c r="AB13" s="212"/>
      <c r="AC13" s="213"/>
      <c r="AD13" s="212"/>
      <c r="AE13" s="213"/>
      <c r="AF13" s="212"/>
      <c r="AG13" s="213"/>
      <c r="AH13" s="212"/>
      <c r="AI13" s="213"/>
      <c r="AJ13" s="212"/>
      <c r="AK13" s="213"/>
      <c r="AL13" s="212"/>
      <c r="AM13" s="213"/>
      <c r="AN13" s="212"/>
      <c r="AO13" s="213"/>
      <c r="AP13" s="212"/>
      <c r="AQ13" s="213"/>
      <c r="AR13" s="212"/>
      <c r="AS13" s="213"/>
      <c r="AT13" s="212"/>
      <c r="AU13" s="213"/>
      <c r="AV13" s="212"/>
      <c r="AW13" s="213"/>
      <c r="AX13" s="212"/>
      <c r="AY13" s="213"/>
      <c r="AZ13" s="212"/>
      <c r="BA13" s="213"/>
      <c r="BB13" s="212"/>
      <c r="BC13" s="213"/>
      <c r="BD13" s="212"/>
      <c r="BE13" s="213"/>
      <c r="BF13" s="212"/>
      <c r="BG13" s="213"/>
      <c r="BH13" s="212"/>
      <c r="BI13" s="213"/>
      <c r="BJ13" s="212"/>
      <c r="BK13" s="213"/>
      <c r="BL13" s="212"/>
      <c r="BM13" s="213"/>
      <c r="BN13" s="212"/>
      <c r="BO13" s="213"/>
      <c r="BP13" s="212"/>
      <c r="BQ13" s="213"/>
      <c r="BR13" s="193">
        <f t="shared" si="0"/>
        <v>0</v>
      </c>
      <c r="BS13" s="194"/>
      <c r="BT13" s="194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185" customFormat="1">
      <c r="A14" s="233">
        <v>40969</v>
      </c>
      <c r="B14" s="262" t="s">
        <v>268</v>
      </c>
      <c r="C14" s="285" t="s">
        <v>719</v>
      </c>
      <c r="D14" s="212"/>
      <c r="E14" s="213"/>
      <c r="F14" s="212"/>
      <c r="G14" s="213">
        <v>4.5</v>
      </c>
      <c r="H14" s="212"/>
      <c r="I14" s="213"/>
      <c r="J14" s="212"/>
      <c r="K14" s="213"/>
      <c r="L14" s="212"/>
      <c r="M14" s="213"/>
      <c r="N14" s="212"/>
      <c r="O14" s="213"/>
      <c r="P14" s="212"/>
      <c r="Q14" s="213"/>
      <c r="R14" s="212"/>
      <c r="S14" s="213"/>
      <c r="T14" s="212">
        <v>4.5</v>
      </c>
      <c r="U14" s="213"/>
      <c r="V14" s="212"/>
      <c r="W14" s="213"/>
      <c r="X14" s="212"/>
      <c r="Y14" s="213"/>
      <c r="Z14" s="212"/>
      <c r="AA14" s="213"/>
      <c r="AB14" s="212"/>
      <c r="AC14" s="213"/>
      <c r="AD14" s="212"/>
      <c r="AE14" s="213"/>
      <c r="AF14" s="212"/>
      <c r="AG14" s="213"/>
      <c r="AH14" s="212"/>
      <c r="AI14" s="213"/>
      <c r="AJ14" s="212"/>
      <c r="AK14" s="213"/>
      <c r="AL14" s="212"/>
      <c r="AM14" s="213"/>
      <c r="AN14" s="212"/>
      <c r="AO14" s="213"/>
      <c r="AP14" s="212"/>
      <c r="AQ14" s="213"/>
      <c r="AR14" s="212"/>
      <c r="AS14" s="213"/>
      <c r="AT14" s="212"/>
      <c r="AU14" s="213"/>
      <c r="AV14" s="212"/>
      <c r="AW14" s="213"/>
      <c r="AX14" s="212"/>
      <c r="AY14" s="213"/>
      <c r="AZ14" s="212"/>
      <c r="BA14" s="213"/>
      <c r="BB14" s="212"/>
      <c r="BC14" s="213"/>
      <c r="BD14" s="212"/>
      <c r="BE14" s="213"/>
      <c r="BF14" s="212"/>
      <c r="BG14" s="213"/>
      <c r="BH14" s="212"/>
      <c r="BI14" s="213"/>
      <c r="BJ14" s="212"/>
      <c r="BK14" s="213"/>
      <c r="BL14" s="212"/>
      <c r="BM14" s="213"/>
      <c r="BN14" s="212"/>
      <c r="BO14" s="213"/>
      <c r="BP14" s="212"/>
      <c r="BQ14" s="213"/>
      <c r="BR14" s="193">
        <f t="shared" si="0"/>
        <v>0</v>
      </c>
      <c r="BS14" s="194"/>
      <c r="BT14" s="194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79" customFormat="1">
      <c r="A15" s="233">
        <v>41029</v>
      </c>
      <c r="B15" s="273" t="s">
        <v>651</v>
      </c>
      <c r="C15" s="284" t="s">
        <v>720</v>
      </c>
      <c r="D15" s="212"/>
      <c r="E15" s="213"/>
      <c r="F15" s="212"/>
      <c r="G15" s="213">
        <v>456.8</v>
      </c>
      <c r="H15" s="212"/>
      <c r="I15" s="213"/>
      <c r="J15" s="212"/>
      <c r="K15" s="213"/>
      <c r="L15" s="212"/>
      <c r="M15" s="213"/>
      <c r="N15" s="212"/>
      <c r="O15" s="213"/>
      <c r="P15" s="212"/>
      <c r="Q15" s="213"/>
      <c r="R15" s="212"/>
      <c r="S15" s="213"/>
      <c r="T15" s="212">
        <v>456.8</v>
      </c>
      <c r="U15" s="213"/>
      <c r="V15" s="212"/>
      <c r="W15" s="213"/>
      <c r="X15" s="212"/>
      <c r="Y15" s="213"/>
      <c r="Z15" s="212"/>
      <c r="AA15" s="213"/>
      <c r="AB15" s="212"/>
      <c r="AC15" s="213"/>
      <c r="AD15" s="212"/>
      <c r="AE15" s="213"/>
      <c r="AF15" s="212"/>
      <c r="AG15" s="213"/>
      <c r="AH15" s="212"/>
      <c r="AI15" s="213"/>
      <c r="AJ15" s="212"/>
      <c r="AK15" s="213"/>
      <c r="AL15" s="212"/>
      <c r="AM15" s="213"/>
      <c r="AN15" s="212"/>
      <c r="AO15" s="213"/>
      <c r="AP15" s="212"/>
      <c r="AQ15" s="213"/>
      <c r="AR15" s="212"/>
      <c r="AS15" s="213"/>
      <c r="AT15" s="212"/>
      <c r="AU15" s="213"/>
      <c r="AV15" s="212"/>
      <c r="AW15" s="213"/>
      <c r="AX15" s="212"/>
      <c r="AY15" s="213"/>
      <c r="AZ15" s="212"/>
      <c r="BA15" s="213"/>
      <c r="BB15" s="212"/>
      <c r="BC15" s="213"/>
      <c r="BD15" s="212"/>
      <c r="BE15" s="213"/>
      <c r="BF15" s="212"/>
      <c r="BG15" s="213"/>
      <c r="BH15" s="212"/>
      <c r="BI15" s="213"/>
      <c r="BJ15" s="212"/>
      <c r="BK15" s="213"/>
      <c r="BL15" s="212"/>
      <c r="BM15" s="213"/>
      <c r="BN15" s="212"/>
      <c r="BO15" s="213"/>
      <c r="BP15" s="212"/>
      <c r="BQ15" s="213"/>
      <c r="BR15" s="193">
        <f t="shared" si="0"/>
        <v>0</v>
      </c>
      <c r="BS15" s="194"/>
      <c r="BT15" s="194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79" customFormat="1">
      <c r="A16" s="233">
        <v>41029</v>
      </c>
      <c r="B16" s="273" t="s">
        <v>636</v>
      </c>
      <c r="C16" s="285" t="s">
        <v>721</v>
      </c>
      <c r="D16" s="212"/>
      <c r="E16" s="213"/>
      <c r="F16" s="212"/>
      <c r="G16" s="213">
        <v>470</v>
      </c>
      <c r="H16" s="212"/>
      <c r="I16" s="213"/>
      <c r="J16" s="212"/>
      <c r="K16" s="213"/>
      <c r="L16" s="212"/>
      <c r="M16" s="213"/>
      <c r="N16" s="212"/>
      <c r="O16" s="213"/>
      <c r="P16" s="212"/>
      <c r="Q16" s="213"/>
      <c r="R16" s="212"/>
      <c r="S16" s="213"/>
      <c r="T16" s="212"/>
      <c r="U16" s="213"/>
      <c r="V16" s="212"/>
      <c r="W16" s="213"/>
      <c r="X16" s="212">
        <v>235</v>
      </c>
      <c r="Y16" s="213"/>
      <c r="Z16" s="212"/>
      <c r="AA16" s="213"/>
      <c r="AB16" s="212"/>
      <c r="AC16" s="213"/>
      <c r="AD16" s="212"/>
      <c r="AE16" s="213"/>
      <c r="AF16" s="212"/>
      <c r="AG16" s="213"/>
      <c r="AH16" s="212"/>
      <c r="AI16" s="213"/>
      <c r="AJ16" s="212"/>
      <c r="AK16" s="213"/>
      <c r="AL16" s="212"/>
      <c r="AM16" s="213"/>
      <c r="AN16" s="212"/>
      <c r="AO16" s="213"/>
      <c r="AP16" s="212"/>
      <c r="AQ16" s="213"/>
      <c r="AR16" s="212"/>
      <c r="AS16" s="213"/>
      <c r="AT16" s="212"/>
      <c r="AU16" s="213"/>
      <c r="AV16" s="212"/>
      <c r="AW16" s="213"/>
      <c r="AX16" s="212"/>
      <c r="AY16" s="213"/>
      <c r="AZ16" s="212"/>
      <c r="BA16" s="213"/>
      <c r="BB16" s="212"/>
      <c r="BC16" s="213"/>
      <c r="BD16" s="212"/>
      <c r="BE16" s="213"/>
      <c r="BF16" s="212"/>
      <c r="BG16" s="213"/>
      <c r="BH16" s="212"/>
      <c r="BI16" s="213"/>
      <c r="BJ16" s="212"/>
      <c r="BK16" s="213"/>
      <c r="BL16" s="212"/>
      <c r="BM16" s="213"/>
      <c r="BN16" s="212">
        <v>235</v>
      </c>
      <c r="BO16" s="213"/>
      <c r="BP16" s="212"/>
      <c r="BQ16" s="213"/>
      <c r="BR16" s="193">
        <f t="shared" si="0"/>
        <v>0</v>
      </c>
      <c r="BS16" s="194"/>
      <c r="BT16" s="194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185" customFormat="1">
      <c r="A17" s="233">
        <v>41029</v>
      </c>
      <c r="B17" s="257" t="s">
        <v>593</v>
      </c>
      <c r="C17" s="284" t="s">
        <v>722</v>
      </c>
      <c r="D17" s="212"/>
      <c r="E17" s="213"/>
      <c r="F17" s="212"/>
      <c r="G17" s="213">
        <v>1411</v>
      </c>
      <c r="H17" s="212"/>
      <c r="I17" s="213"/>
      <c r="J17" s="212"/>
      <c r="K17" s="213"/>
      <c r="L17" s="212"/>
      <c r="M17" s="213"/>
      <c r="N17" s="212"/>
      <c r="O17" s="213"/>
      <c r="P17" s="212"/>
      <c r="Q17" s="213"/>
      <c r="R17" s="212">
        <v>1411</v>
      </c>
      <c r="S17" s="213"/>
      <c r="T17" s="212"/>
      <c r="U17" s="213"/>
      <c r="V17" s="212"/>
      <c r="W17" s="213"/>
      <c r="X17" s="212"/>
      <c r="Y17" s="213"/>
      <c r="Z17" s="212"/>
      <c r="AA17" s="213"/>
      <c r="AB17" s="212"/>
      <c r="AC17" s="213"/>
      <c r="AD17" s="212"/>
      <c r="AE17" s="213"/>
      <c r="AF17" s="212"/>
      <c r="AG17" s="213"/>
      <c r="AH17" s="212"/>
      <c r="AI17" s="213"/>
      <c r="AJ17" s="212"/>
      <c r="AK17" s="213"/>
      <c r="AL17" s="212"/>
      <c r="AM17" s="213"/>
      <c r="AN17" s="212"/>
      <c r="AO17" s="213"/>
      <c r="AP17" s="212"/>
      <c r="AQ17" s="213"/>
      <c r="AR17" s="212"/>
      <c r="AS17" s="213"/>
      <c r="AT17" s="212"/>
      <c r="AU17" s="213"/>
      <c r="AV17" s="212"/>
      <c r="AW17" s="213"/>
      <c r="AX17" s="212"/>
      <c r="AY17" s="213"/>
      <c r="AZ17" s="212"/>
      <c r="BA17" s="213"/>
      <c r="BB17" s="212"/>
      <c r="BC17" s="213"/>
      <c r="BD17" s="212"/>
      <c r="BE17" s="213"/>
      <c r="BF17" s="212"/>
      <c r="BG17" s="213"/>
      <c r="BH17" s="212"/>
      <c r="BI17" s="213"/>
      <c r="BJ17" s="212"/>
      <c r="BK17" s="213"/>
      <c r="BL17" s="212"/>
      <c r="BM17" s="213"/>
      <c r="BN17" s="212"/>
      <c r="BO17" s="213"/>
      <c r="BP17" s="212"/>
      <c r="BQ17" s="213"/>
      <c r="BR17" s="193">
        <f t="shared" si="0"/>
        <v>0</v>
      </c>
      <c r="BS17" s="194"/>
      <c r="BT17" s="194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79" customFormat="1">
      <c r="A18" s="233">
        <v>41031</v>
      </c>
      <c r="B18" s="257" t="s">
        <v>268</v>
      </c>
      <c r="C18" s="285" t="s">
        <v>723</v>
      </c>
      <c r="D18" s="214"/>
      <c r="E18" s="215"/>
      <c r="F18" s="214"/>
      <c r="G18" s="215">
        <v>9</v>
      </c>
      <c r="H18" s="214"/>
      <c r="I18" s="215"/>
      <c r="J18" s="214"/>
      <c r="K18" s="215"/>
      <c r="L18" s="214"/>
      <c r="M18" s="215"/>
      <c r="N18" s="214"/>
      <c r="O18" s="215"/>
      <c r="P18" s="214"/>
      <c r="Q18" s="215"/>
      <c r="R18" s="214"/>
      <c r="S18" s="215"/>
      <c r="T18" s="214">
        <v>9</v>
      </c>
      <c r="U18" s="215"/>
      <c r="V18" s="214"/>
      <c r="W18" s="215"/>
      <c r="X18" s="214"/>
      <c r="Y18" s="215"/>
      <c r="Z18" s="214"/>
      <c r="AA18" s="215"/>
      <c r="AB18" s="214"/>
      <c r="AC18" s="215"/>
      <c r="AD18" s="214"/>
      <c r="AE18" s="215"/>
      <c r="AF18" s="214"/>
      <c r="AG18" s="215"/>
      <c r="AH18" s="214"/>
      <c r="AI18" s="215"/>
      <c r="AJ18" s="214"/>
      <c r="AK18" s="215"/>
      <c r="AL18" s="214"/>
      <c r="AM18" s="215"/>
      <c r="AN18" s="214"/>
      <c r="AO18" s="215"/>
      <c r="AP18" s="214"/>
      <c r="AQ18" s="215"/>
      <c r="AR18" s="214"/>
      <c r="AS18" s="215"/>
      <c r="AT18" s="214"/>
      <c r="AU18" s="215"/>
      <c r="AV18" s="214"/>
      <c r="AW18" s="215"/>
      <c r="AX18" s="214"/>
      <c r="AY18" s="215"/>
      <c r="AZ18" s="214"/>
      <c r="BA18" s="215"/>
      <c r="BB18" s="214"/>
      <c r="BC18" s="215"/>
      <c r="BD18" s="214"/>
      <c r="BE18" s="215"/>
      <c r="BF18" s="214"/>
      <c r="BG18" s="215"/>
      <c r="BH18" s="214"/>
      <c r="BI18" s="215"/>
      <c r="BJ18" s="214"/>
      <c r="BK18" s="215"/>
      <c r="BL18" s="214"/>
      <c r="BM18" s="215"/>
      <c r="BN18" s="214"/>
      <c r="BO18" s="215"/>
      <c r="BP18" s="214"/>
      <c r="BQ18" s="215"/>
      <c r="BR18" s="193">
        <f t="shared" si="0"/>
        <v>0</v>
      </c>
      <c r="BS18" s="194"/>
      <c r="BT18" s="194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79" customFormat="1">
      <c r="A19" s="234">
        <v>41037</v>
      </c>
      <c r="B19" s="273" t="s">
        <v>653</v>
      </c>
      <c r="C19" s="284" t="s">
        <v>724</v>
      </c>
      <c r="D19" s="214"/>
      <c r="E19" s="215"/>
      <c r="F19" s="214"/>
      <c r="G19" s="215">
        <v>5526.9</v>
      </c>
      <c r="H19" s="214"/>
      <c r="I19" s="215"/>
      <c r="J19" s="214"/>
      <c r="K19" s="215"/>
      <c r="L19" s="214"/>
      <c r="M19" s="215"/>
      <c r="N19" s="214"/>
      <c r="O19" s="215"/>
      <c r="P19" s="214"/>
      <c r="Q19" s="215"/>
      <c r="R19" s="214"/>
      <c r="S19" s="215"/>
      <c r="T19" s="214"/>
      <c r="U19" s="215"/>
      <c r="V19" s="214"/>
      <c r="W19" s="215"/>
      <c r="X19" s="214"/>
      <c r="Y19" s="215"/>
      <c r="Z19" s="214"/>
      <c r="AA19" s="215"/>
      <c r="AB19" s="214">
        <v>5526.9</v>
      </c>
      <c r="AC19" s="215"/>
      <c r="AD19" s="214"/>
      <c r="AE19" s="215"/>
      <c r="AF19" s="214"/>
      <c r="AG19" s="215"/>
      <c r="AH19" s="214"/>
      <c r="AI19" s="215"/>
      <c r="AJ19" s="214"/>
      <c r="AK19" s="215"/>
      <c r="AL19" s="214"/>
      <c r="AM19" s="215"/>
      <c r="AN19" s="214"/>
      <c r="AO19" s="215"/>
      <c r="AP19" s="214"/>
      <c r="AQ19" s="215"/>
      <c r="AR19" s="214"/>
      <c r="AS19" s="215"/>
      <c r="AT19" s="214"/>
      <c r="AU19" s="215"/>
      <c r="AV19" s="214"/>
      <c r="AW19" s="215"/>
      <c r="AX19" s="214"/>
      <c r="AY19" s="215"/>
      <c r="AZ19" s="214"/>
      <c r="BA19" s="215"/>
      <c r="BB19" s="214"/>
      <c r="BC19" s="215"/>
      <c r="BD19" s="214"/>
      <c r="BE19" s="215"/>
      <c r="BF19" s="214"/>
      <c r="BG19" s="215"/>
      <c r="BH19" s="214"/>
      <c r="BI19" s="215"/>
      <c r="BJ19" s="214"/>
      <c r="BK19" s="215"/>
      <c r="BL19" s="214"/>
      <c r="BM19" s="215"/>
      <c r="BN19" s="214"/>
      <c r="BO19" s="215"/>
      <c r="BP19" s="214"/>
      <c r="BQ19" s="215"/>
      <c r="BR19" s="193">
        <f t="shared" si="0"/>
        <v>0</v>
      </c>
      <c r="BS19" s="70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79" customFormat="1">
      <c r="A20" s="234">
        <v>41050</v>
      </c>
      <c r="B20" s="273" t="s">
        <v>653</v>
      </c>
      <c r="C20" s="285" t="s">
        <v>725</v>
      </c>
      <c r="D20" s="214"/>
      <c r="E20" s="215"/>
      <c r="F20" s="214"/>
      <c r="G20" s="215">
        <v>419</v>
      </c>
      <c r="H20" s="214"/>
      <c r="I20" s="215"/>
      <c r="J20" s="214"/>
      <c r="K20" s="215"/>
      <c r="L20" s="214"/>
      <c r="M20" s="215"/>
      <c r="N20" s="214"/>
      <c r="O20" s="215"/>
      <c r="P20" s="214"/>
      <c r="Q20" s="215"/>
      <c r="R20" s="214"/>
      <c r="S20" s="215"/>
      <c r="T20" s="214"/>
      <c r="U20" s="215"/>
      <c r="V20" s="214"/>
      <c r="W20" s="215"/>
      <c r="X20" s="214"/>
      <c r="Y20" s="215"/>
      <c r="Z20" s="214"/>
      <c r="AA20" s="215"/>
      <c r="AB20" s="214">
        <v>419</v>
      </c>
      <c r="AC20" s="215"/>
      <c r="AD20" s="214"/>
      <c r="AE20" s="215"/>
      <c r="AF20" s="214"/>
      <c r="AG20" s="215"/>
      <c r="AH20" s="214"/>
      <c r="AI20" s="215"/>
      <c r="AJ20" s="214"/>
      <c r="AK20" s="215"/>
      <c r="AL20" s="214"/>
      <c r="AM20" s="215"/>
      <c r="AN20" s="214"/>
      <c r="AO20" s="215"/>
      <c r="AP20" s="214"/>
      <c r="AQ20" s="215"/>
      <c r="AR20" s="214"/>
      <c r="AS20" s="215"/>
      <c r="AT20" s="214"/>
      <c r="AU20" s="215"/>
      <c r="AV20" s="214"/>
      <c r="AW20" s="215"/>
      <c r="AX20" s="214"/>
      <c r="AY20" s="215"/>
      <c r="AZ20" s="214"/>
      <c r="BA20" s="215"/>
      <c r="BB20" s="214"/>
      <c r="BC20" s="215"/>
      <c r="BD20" s="214"/>
      <c r="BE20" s="215"/>
      <c r="BF20" s="214"/>
      <c r="BG20" s="215"/>
      <c r="BH20" s="214"/>
      <c r="BI20" s="215"/>
      <c r="BJ20" s="214"/>
      <c r="BK20" s="215"/>
      <c r="BL20" s="214"/>
      <c r="BM20" s="215"/>
      <c r="BN20" s="214"/>
      <c r="BO20" s="215"/>
      <c r="BP20" s="214"/>
      <c r="BQ20" s="215"/>
      <c r="BR20" s="193">
        <f t="shared" si="0"/>
        <v>0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79" customFormat="1">
      <c r="A21" s="234">
        <v>41050</v>
      </c>
      <c r="B21" s="273" t="s">
        <v>653</v>
      </c>
      <c r="C21" s="284" t="s">
        <v>726</v>
      </c>
      <c r="D21" s="214"/>
      <c r="E21" s="215"/>
      <c r="F21" s="214"/>
      <c r="G21" s="215">
        <v>2302.83</v>
      </c>
      <c r="H21" s="214"/>
      <c r="I21" s="215"/>
      <c r="J21" s="214"/>
      <c r="K21" s="215"/>
      <c r="L21" s="214"/>
      <c r="M21" s="215"/>
      <c r="N21" s="214"/>
      <c r="O21" s="215"/>
      <c r="P21" s="214"/>
      <c r="Q21" s="215"/>
      <c r="R21" s="214"/>
      <c r="S21" s="215"/>
      <c r="T21" s="214"/>
      <c r="U21" s="215"/>
      <c r="V21" s="214"/>
      <c r="W21" s="215"/>
      <c r="X21" s="214"/>
      <c r="Y21" s="215"/>
      <c r="Z21" s="214"/>
      <c r="AA21" s="215"/>
      <c r="AB21" s="214">
        <v>2302.83</v>
      </c>
      <c r="AC21" s="215"/>
      <c r="AD21" s="214"/>
      <c r="AE21" s="215"/>
      <c r="AF21" s="214"/>
      <c r="AG21" s="215"/>
      <c r="AH21" s="214"/>
      <c r="AI21" s="215"/>
      <c r="AJ21" s="214"/>
      <c r="AK21" s="215"/>
      <c r="AL21" s="214"/>
      <c r="AM21" s="215"/>
      <c r="AN21" s="214"/>
      <c r="AO21" s="215"/>
      <c r="AP21" s="214"/>
      <c r="AQ21" s="215"/>
      <c r="AR21" s="214"/>
      <c r="AS21" s="215"/>
      <c r="AT21" s="214"/>
      <c r="AU21" s="215"/>
      <c r="AV21" s="214"/>
      <c r="AW21" s="215"/>
      <c r="AX21" s="214"/>
      <c r="AY21" s="215"/>
      <c r="AZ21" s="214"/>
      <c r="BA21" s="215"/>
      <c r="BB21" s="214"/>
      <c r="BC21" s="215"/>
      <c r="BD21" s="214"/>
      <c r="BE21" s="215"/>
      <c r="BF21" s="214"/>
      <c r="BG21" s="215"/>
      <c r="BH21" s="214"/>
      <c r="BI21" s="215"/>
      <c r="BJ21" s="214"/>
      <c r="BK21" s="215"/>
      <c r="BL21" s="214"/>
      <c r="BM21" s="215"/>
      <c r="BN21" s="214"/>
      <c r="BO21" s="215"/>
      <c r="BP21" s="214"/>
      <c r="BQ21" s="215"/>
      <c r="BR21" s="193">
        <f t="shared" si="0"/>
        <v>0</v>
      </c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79" customFormat="1">
      <c r="A22" s="234">
        <v>41060</v>
      </c>
      <c r="B22" s="273" t="s">
        <v>654</v>
      </c>
      <c r="C22" s="285" t="s">
        <v>727</v>
      </c>
      <c r="D22" s="214"/>
      <c r="E22" s="215"/>
      <c r="F22" s="214">
        <f>82*200</f>
        <v>16400</v>
      </c>
      <c r="G22" s="215"/>
      <c r="H22" s="214"/>
      <c r="I22" s="215"/>
      <c r="J22" s="214"/>
      <c r="K22" s="215"/>
      <c r="L22" s="214"/>
      <c r="M22" s="215"/>
      <c r="N22" s="214"/>
      <c r="O22" s="215"/>
      <c r="P22" s="214"/>
      <c r="Q22" s="215"/>
      <c r="R22" s="214"/>
      <c r="S22" s="215"/>
      <c r="T22" s="214"/>
      <c r="U22" s="215"/>
      <c r="V22" s="214"/>
      <c r="W22" s="215"/>
      <c r="X22" s="214"/>
      <c r="Y22" s="215"/>
      <c r="Z22" s="214"/>
      <c r="AA22" s="215"/>
      <c r="AB22" s="214"/>
      <c r="AC22" s="215"/>
      <c r="AD22" s="214"/>
      <c r="AE22" s="215"/>
      <c r="AF22" s="214"/>
      <c r="AG22" s="215">
        <v>16400</v>
      </c>
      <c r="AH22" s="214"/>
      <c r="AI22" s="215"/>
      <c r="AJ22" s="214"/>
      <c r="AK22" s="215"/>
      <c r="AL22" s="214"/>
      <c r="AM22" s="215"/>
      <c r="AN22" s="214"/>
      <c r="AO22" s="215"/>
      <c r="AP22" s="214"/>
      <c r="AQ22" s="215"/>
      <c r="AR22" s="214"/>
      <c r="AS22" s="215"/>
      <c r="AT22" s="214"/>
      <c r="AU22" s="215"/>
      <c r="AV22" s="214"/>
      <c r="AW22" s="215"/>
      <c r="AX22" s="214"/>
      <c r="AY22" s="215"/>
      <c r="AZ22" s="214"/>
      <c r="BA22" s="215"/>
      <c r="BB22" s="214"/>
      <c r="BC22" s="215"/>
      <c r="BD22" s="214"/>
      <c r="BE22" s="215"/>
      <c r="BF22" s="214"/>
      <c r="BG22" s="215"/>
      <c r="BH22" s="214"/>
      <c r="BI22" s="215"/>
      <c r="BJ22" s="214"/>
      <c r="BK22" s="215"/>
      <c r="BL22" s="214"/>
      <c r="BM22" s="215"/>
      <c r="BN22" s="214"/>
      <c r="BO22" s="215"/>
      <c r="BP22" s="214"/>
      <c r="BQ22" s="215"/>
      <c r="BR22" s="193">
        <f t="shared" si="0"/>
        <v>0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79" customFormat="1">
      <c r="A23" s="234">
        <v>41061</v>
      </c>
      <c r="B23" s="257" t="s">
        <v>268</v>
      </c>
      <c r="C23" s="284" t="s">
        <v>728</v>
      </c>
      <c r="D23" s="214"/>
      <c r="E23" s="215"/>
      <c r="F23" s="214"/>
      <c r="G23" s="215">
        <v>13.5</v>
      </c>
      <c r="H23" s="214"/>
      <c r="I23" s="215"/>
      <c r="J23" s="214"/>
      <c r="K23" s="215"/>
      <c r="L23" s="214"/>
      <c r="M23" s="215"/>
      <c r="N23" s="214"/>
      <c r="O23" s="215"/>
      <c r="P23" s="214"/>
      <c r="Q23" s="215"/>
      <c r="R23" s="214"/>
      <c r="S23" s="215"/>
      <c r="T23" s="214">
        <v>13.5</v>
      </c>
      <c r="U23" s="215"/>
      <c r="V23" s="214"/>
      <c r="W23" s="215"/>
      <c r="X23" s="214"/>
      <c r="Y23" s="215"/>
      <c r="Z23" s="214"/>
      <c r="AA23" s="215"/>
      <c r="AB23" s="214"/>
      <c r="AC23" s="215"/>
      <c r="AD23" s="214"/>
      <c r="AE23" s="215"/>
      <c r="AF23" s="214"/>
      <c r="AG23" s="215"/>
      <c r="AH23" s="214"/>
      <c r="AI23" s="215"/>
      <c r="AJ23" s="214"/>
      <c r="AK23" s="215"/>
      <c r="AL23" s="214"/>
      <c r="AM23" s="215"/>
      <c r="AN23" s="214"/>
      <c r="AO23" s="215"/>
      <c r="AP23" s="214"/>
      <c r="AQ23" s="215"/>
      <c r="AR23" s="214"/>
      <c r="AS23" s="215"/>
      <c r="AT23" s="214"/>
      <c r="AU23" s="215"/>
      <c r="AV23" s="214"/>
      <c r="AW23" s="215"/>
      <c r="AX23" s="214"/>
      <c r="AY23" s="215"/>
      <c r="AZ23" s="214"/>
      <c r="BA23" s="215"/>
      <c r="BB23" s="214"/>
      <c r="BC23" s="215"/>
      <c r="BD23" s="214"/>
      <c r="BE23" s="215"/>
      <c r="BF23" s="214"/>
      <c r="BG23" s="215"/>
      <c r="BH23" s="214"/>
      <c r="BI23" s="215"/>
      <c r="BJ23" s="214"/>
      <c r="BK23" s="215"/>
      <c r="BL23" s="214"/>
      <c r="BM23" s="215"/>
      <c r="BN23" s="214"/>
      <c r="BO23" s="215"/>
      <c r="BP23" s="214"/>
      <c r="BQ23" s="215"/>
      <c r="BR23" s="193">
        <f t="shared" si="0"/>
        <v>0</v>
      </c>
    </row>
    <row r="24" spans="1:256" s="79" customFormat="1">
      <c r="A24" s="234">
        <v>41061</v>
      </c>
      <c r="B24" s="273" t="s">
        <v>655</v>
      </c>
      <c r="C24" s="285" t="s">
        <v>729</v>
      </c>
      <c r="D24" s="214"/>
      <c r="E24" s="215"/>
      <c r="F24" s="214"/>
      <c r="G24" s="215">
        <v>240</v>
      </c>
      <c r="H24" s="214"/>
      <c r="I24" s="215"/>
      <c r="J24" s="214"/>
      <c r="K24" s="215"/>
      <c r="L24" s="214"/>
      <c r="M24" s="215"/>
      <c r="N24" s="214">
        <v>240</v>
      </c>
      <c r="O24" s="215"/>
      <c r="P24" s="214"/>
      <c r="Q24" s="215"/>
      <c r="R24" s="214"/>
      <c r="S24" s="215"/>
      <c r="T24" s="214"/>
      <c r="U24" s="215"/>
      <c r="V24" s="214"/>
      <c r="W24" s="215"/>
      <c r="X24" s="214"/>
      <c r="Y24" s="215"/>
      <c r="Z24" s="214"/>
      <c r="AA24" s="215"/>
      <c r="AB24" s="214"/>
      <c r="AC24" s="215"/>
      <c r="AD24" s="214"/>
      <c r="AE24" s="215"/>
      <c r="AF24" s="214"/>
      <c r="AG24" s="215"/>
      <c r="AH24" s="214"/>
      <c r="AI24" s="215"/>
      <c r="AJ24" s="214"/>
      <c r="AK24" s="215"/>
      <c r="AL24" s="214"/>
      <c r="AM24" s="215"/>
      <c r="AN24" s="214"/>
      <c r="AO24" s="215"/>
      <c r="AP24" s="214"/>
      <c r="AQ24" s="215"/>
      <c r="AR24" s="214"/>
      <c r="AS24" s="215"/>
      <c r="AT24" s="214"/>
      <c r="AU24" s="215"/>
      <c r="AV24" s="214"/>
      <c r="AW24" s="215"/>
      <c r="AX24" s="214"/>
      <c r="AY24" s="215"/>
      <c r="AZ24" s="214"/>
      <c r="BA24" s="215"/>
      <c r="BB24" s="214"/>
      <c r="BC24" s="215"/>
      <c r="BD24" s="214"/>
      <c r="BE24" s="215"/>
      <c r="BF24" s="214"/>
      <c r="BG24" s="215"/>
      <c r="BH24" s="214"/>
      <c r="BI24" s="215"/>
      <c r="BJ24" s="214"/>
      <c r="BK24" s="215"/>
      <c r="BL24" s="214"/>
      <c r="BM24" s="215"/>
      <c r="BN24" s="214"/>
      <c r="BO24" s="215"/>
      <c r="BP24" s="214"/>
      <c r="BQ24" s="215"/>
      <c r="BR24" s="193">
        <f t="shared" si="0"/>
        <v>0</v>
      </c>
    </row>
    <row r="25" spans="1:256" s="79" customFormat="1">
      <c r="A25" s="234">
        <v>41061</v>
      </c>
      <c r="B25" s="273" t="s">
        <v>656</v>
      </c>
      <c r="C25" s="284" t="s">
        <v>730</v>
      </c>
      <c r="D25" s="214"/>
      <c r="E25" s="215"/>
      <c r="F25" s="214"/>
      <c r="G25" s="215">
        <v>1815.32</v>
      </c>
      <c r="H25" s="214"/>
      <c r="I25" s="215"/>
      <c r="J25" s="214"/>
      <c r="K25" s="215"/>
      <c r="L25" s="214"/>
      <c r="M25" s="215"/>
      <c r="N25" s="214">
        <v>1815.32</v>
      </c>
      <c r="O25" s="215"/>
      <c r="P25" s="214"/>
      <c r="Q25" s="215"/>
      <c r="R25" s="214"/>
      <c r="S25" s="215"/>
      <c r="T25" s="214"/>
      <c r="U25" s="215"/>
      <c r="V25" s="214"/>
      <c r="W25" s="215"/>
      <c r="X25" s="214"/>
      <c r="Y25" s="215"/>
      <c r="Z25" s="214"/>
      <c r="AA25" s="215"/>
      <c r="AB25" s="214"/>
      <c r="AC25" s="215"/>
      <c r="AD25" s="214"/>
      <c r="AE25" s="215"/>
      <c r="AF25" s="214"/>
      <c r="AG25" s="215"/>
      <c r="AH25" s="214"/>
      <c r="AI25" s="215"/>
      <c r="AJ25" s="214"/>
      <c r="AK25" s="215"/>
      <c r="AL25" s="214"/>
      <c r="AM25" s="215"/>
      <c r="AN25" s="214"/>
      <c r="AO25" s="215"/>
      <c r="AP25" s="214"/>
      <c r="AQ25" s="215"/>
      <c r="AR25" s="214"/>
      <c r="AS25" s="215"/>
      <c r="AT25" s="214"/>
      <c r="AU25" s="215"/>
      <c r="AV25" s="214"/>
      <c r="AW25" s="215"/>
      <c r="AX25" s="214"/>
      <c r="AY25" s="215"/>
      <c r="AZ25" s="214"/>
      <c r="BA25" s="215"/>
      <c r="BB25" s="214"/>
      <c r="BC25" s="215"/>
      <c r="BD25" s="214"/>
      <c r="BE25" s="215"/>
      <c r="BF25" s="214"/>
      <c r="BG25" s="215"/>
      <c r="BH25" s="214"/>
      <c r="BI25" s="215"/>
      <c r="BJ25" s="214"/>
      <c r="BK25" s="215"/>
      <c r="BL25" s="214"/>
      <c r="BM25" s="215"/>
      <c r="BN25" s="214"/>
      <c r="BO25" s="215"/>
      <c r="BP25" s="214"/>
      <c r="BQ25" s="215"/>
      <c r="BR25" s="193">
        <f t="shared" si="0"/>
        <v>0</v>
      </c>
      <c r="BS25" s="194"/>
      <c r="BT25" s="194"/>
    </row>
    <row r="26" spans="1:256" s="79" customFormat="1">
      <c r="A26" s="234">
        <v>41067</v>
      </c>
      <c r="B26" s="273" t="s">
        <v>657</v>
      </c>
      <c r="C26" s="285" t="s">
        <v>731</v>
      </c>
      <c r="D26" s="214"/>
      <c r="E26" s="215"/>
      <c r="F26" s="214"/>
      <c r="G26" s="215">
        <v>5603</v>
      </c>
      <c r="H26" s="214"/>
      <c r="I26" s="215"/>
      <c r="J26" s="214"/>
      <c r="K26" s="215"/>
      <c r="L26" s="214"/>
      <c r="M26" s="215"/>
      <c r="N26" s="214">
        <v>5603</v>
      </c>
      <c r="O26" s="215"/>
      <c r="P26" s="214"/>
      <c r="Q26" s="215"/>
      <c r="R26" s="214"/>
      <c r="S26" s="215"/>
      <c r="T26" s="214"/>
      <c r="U26" s="215"/>
      <c r="V26" s="214"/>
      <c r="W26" s="215"/>
      <c r="X26" s="214"/>
      <c r="Y26" s="215"/>
      <c r="Z26" s="214"/>
      <c r="AA26" s="215"/>
      <c r="AB26" s="214"/>
      <c r="AC26" s="215"/>
      <c r="AD26" s="214"/>
      <c r="AE26" s="215"/>
      <c r="AF26" s="214"/>
      <c r="AG26" s="215"/>
      <c r="AH26" s="214"/>
      <c r="AI26" s="215"/>
      <c r="AJ26" s="214"/>
      <c r="AK26" s="215"/>
      <c r="AL26" s="214"/>
      <c r="AM26" s="215"/>
      <c r="AN26" s="214"/>
      <c r="AO26" s="215"/>
      <c r="AP26" s="214"/>
      <c r="AQ26" s="215"/>
      <c r="AR26" s="214"/>
      <c r="AS26" s="215"/>
      <c r="AT26" s="214"/>
      <c r="AU26" s="215"/>
      <c r="AV26" s="214"/>
      <c r="AW26" s="215"/>
      <c r="AX26" s="214"/>
      <c r="AY26" s="215"/>
      <c r="AZ26" s="214"/>
      <c r="BA26" s="215"/>
      <c r="BB26" s="214"/>
      <c r="BC26" s="215"/>
      <c r="BD26" s="214"/>
      <c r="BE26" s="215"/>
      <c r="BF26" s="214"/>
      <c r="BG26" s="215"/>
      <c r="BH26" s="214"/>
      <c r="BI26" s="215"/>
      <c r="BJ26" s="214"/>
      <c r="BK26" s="215"/>
      <c r="BL26" s="214"/>
      <c r="BM26" s="215"/>
      <c r="BN26" s="214"/>
      <c r="BO26" s="215"/>
      <c r="BP26" s="214"/>
      <c r="BQ26" s="215"/>
      <c r="BR26" s="193">
        <f t="shared" si="0"/>
        <v>0</v>
      </c>
    </row>
    <row r="27" spans="1:256" s="79" customFormat="1">
      <c r="A27" s="234">
        <v>41074</v>
      </c>
      <c r="B27" s="273" t="s">
        <v>658</v>
      </c>
      <c r="C27" s="284" t="s">
        <v>732</v>
      </c>
      <c r="D27" s="214"/>
      <c r="E27" s="215"/>
      <c r="F27" s="214"/>
      <c r="G27" s="215">
        <v>12504</v>
      </c>
      <c r="H27" s="214"/>
      <c r="I27" s="215"/>
      <c r="J27" s="214"/>
      <c r="K27" s="215"/>
      <c r="L27" s="214"/>
      <c r="M27" s="215"/>
      <c r="N27" s="214"/>
      <c r="O27" s="215"/>
      <c r="P27" s="214"/>
      <c r="Q27" s="215"/>
      <c r="R27" s="214"/>
      <c r="S27" s="215"/>
      <c r="T27" s="214"/>
      <c r="U27" s="215"/>
      <c r="V27" s="214"/>
      <c r="W27" s="215"/>
      <c r="X27" s="214"/>
      <c r="Y27" s="215"/>
      <c r="Z27" s="214"/>
      <c r="AA27" s="215"/>
      <c r="AB27" s="214"/>
      <c r="AC27" s="215"/>
      <c r="AD27" s="214">
        <v>12504</v>
      </c>
      <c r="AE27" s="215"/>
      <c r="AF27" s="214"/>
      <c r="AG27" s="215"/>
      <c r="AH27" s="214"/>
      <c r="AI27" s="215"/>
      <c r="AJ27" s="214"/>
      <c r="AK27" s="215"/>
      <c r="AL27" s="214"/>
      <c r="AM27" s="215"/>
      <c r="AN27" s="214"/>
      <c r="AO27" s="215"/>
      <c r="AP27" s="214"/>
      <c r="AQ27" s="215"/>
      <c r="AR27" s="214"/>
      <c r="AS27" s="215"/>
      <c r="AT27" s="214"/>
      <c r="AU27" s="215"/>
      <c r="AV27" s="214"/>
      <c r="AW27" s="215"/>
      <c r="AX27" s="214"/>
      <c r="AY27" s="215"/>
      <c r="AZ27" s="214"/>
      <c r="BA27" s="215"/>
      <c r="BB27" s="214"/>
      <c r="BC27" s="215"/>
      <c r="BD27" s="214"/>
      <c r="BE27" s="215"/>
      <c r="BF27" s="214"/>
      <c r="BG27" s="215"/>
      <c r="BH27" s="214"/>
      <c r="BI27" s="215"/>
      <c r="BJ27" s="214"/>
      <c r="BK27" s="215"/>
      <c r="BL27" s="214"/>
      <c r="BM27" s="215"/>
      <c r="BN27" s="214"/>
      <c r="BO27" s="215"/>
      <c r="BP27" s="214"/>
      <c r="BQ27" s="215"/>
      <c r="BR27" s="193">
        <f t="shared" si="0"/>
        <v>0</v>
      </c>
    </row>
    <row r="28" spans="1:256" s="79" customFormat="1">
      <c r="A28" s="261">
        <v>41078</v>
      </c>
      <c r="B28" s="257" t="s">
        <v>603</v>
      </c>
      <c r="C28" s="285" t="s">
        <v>733</v>
      </c>
      <c r="D28" s="214"/>
      <c r="E28" s="215"/>
      <c r="F28" s="214"/>
      <c r="G28" s="215">
        <v>2500</v>
      </c>
      <c r="H28" s="214"/>
      <c r="I28" s="215"/>
      <c r="J28" s="214"/>
      <c r="K28" s="215"/>
      <c r="L28" s="214"/>
      <c r="M28" s="215"/>
      <c r="N28" s="214"/>
      <c r="O28" s="215"/>
      <c r="P28" s="214"/>
      <c r="Q28" s="215"/>
      <c r="R28" s="214"/>
      <c r="S28" s="215"/>
      <c r="T28" s="214"/>
      <c r="U28" s="215"/>
      <c r="V28" s="214">
        <v>2500</v>
      </c>
      <c r="W28" s="215"/>
      <c r="X28" s="214"/>
      <c r="Y28" s="215"/>
      <c r="Z28" s="214"/>
      <c r="AA28" s="215"/>
      <c r="AB28" s="214"/>
      <c r="AC28" s="215"/>
      <c r="AD28" s="214"/>
      <c r="AE28" s="215"/>
      <c r="AF28" s="214"/>
      <c r="AG28" s="215"/>
      <c r="AH28" s="214"/>
      <c r="AI28" s="215"/>
      <c r="AJ28" s="214"/>
      <c r="AK28" s="215"/>
      <c r="AL28" s="214"/>
      <c r="AM28" s="215"/>
      <c r="AN28" s="214"/>
      <c r="AO28" s="215"/>
      <c r="AP28" s="214"/>
      <c r="AQ28" s="215"/>
      <c r="AR28" s="214"/>
      <c r="AS28" s="215"/>
      <c r="AT28" s="214"/>
      <c r="AU28" s="215"/>
      <c r="AV28" s="214"/>
      <c r="AW28" s="215"/>
      <c r="AX28" s="214"/>
      <c r="AY28" s="215"/>
      <c r="AZ28" s="214"/>
      <c r="BA28" s="215"/>
      <c r="BB28" s="214"/>
      <c r="BC28" s="215"/>
      <c r="BD28" s="214"/>
      <c r="BE28" s="215"/>
      <c r="BF28" s="214"/>
      <c r="BG28" s="215"/>
      <c r="BH28" s="214"/>
      <c r="BI28" s="215"/>
      <c r="BJ28" s="214"/>
      <c r="BK28" s="215"/>
      <c r="BL28" s="214"/>
      <c r="BM28" s="215"/>
      <c r="BN28" s="214"/>
      <c r="BO28" s="215"/>
      <c r="BP28" s="214"/>
      <c r="BQ28" s="215"/>
      <c r="BR28" s="193">
        <f t="shared" si="0"/>
        <v>0</v>
      </c>
    </row>
    <row r="29" spans="1:256" s="79" customFormat="1">
      <c r="A29" s="234">
        <v>41090</v>
      </c>
      <c r="B29" s="273" t="s">
        <v>659</v>
      </c>
      <c r="C29" s="284" t="s">
        <v>734</v>
      </c>
      <c r="D29" s="214"/>
      <c r="E29" s="215"/>
      <c r="F29" s="214">
        <f>17*200</f>
        <v>3400</v>
      </c>
      <c r="G29" s="215"/>
      <c r="H29" s="214"/>
      <c r="I29" s="215"/>
      <c r="J29" s="214"/>
      <c r="K29" s="215"/>
      <c r="L29" s="214"/>
      <c r="M29" s="215"/>
      <c r="N29" s="214"/>
      <c r="O29" s="215"/>
      <c r="P29" s="214"/>
      <c r="Q29" s="215"/>
      <c r="R29" s="214"/>
      <c r="S29" s="215"/>
      <c r="T29" s="214"/>
      <c r="U29" s="215"/>
      <c r="V29" s="214"/>
      <c r="W29" s="215"/>
      <c r="X29" s="214"/>
      <c r="Y29" s="215"/>
      <c r="Z29" s="214"/>
      <c r="AA29" s="215"/>
      <c r="AB29" s="214"/>
      <c r="AC29" s="215"/>
      <c r="AD29" s="214"/>
      <c r="AE29" s="215"/>
      <c r="AF29" s="214"/>
      <c r="AG29" s="215">
        <v>3400</v>
      </c>
      <c r="AH29" s="214"/>
      <c r="AI29" s="215"/>
      <c r="AJ29" s="214"/>
      <c r="AK29" s="215"/>
      <c r="AL29" s="214"/>
      <c r="AM29" s="215"/>
      <c r="AN29" s="214"/>
      <c r="AO29" s="215"/>
      <c r="AP29" s="214"/>
      <c r="AQ29" s="215"/>
      <c r="AR29" s="214"/>
      <c r="AS29" s="215"/>
      <c r="AT29" s="214"/>
      <c r="AU29" s="215"/>
      <c r="AV29" s="214"/>
      <c r="AW29" s="215"/>
      <c r="AX29" s="214"/>
      <c r="AY29" s="215"/>
      <c r="AZ29" s="214"/>
      <c r="BA29" s="215"/>
      <c r="BB29" s="214"/>
      <c r="BC29" s="215"/>
      <c r="BD29" s="214"/>
      <c r="BE29" s="215"/>
      <c r="BF29" s="214"/>
      <c r="BG29" s="215"/>
      <c r="BH29" s="214"/>
      <c r="BI29" s="215"/>
      <c r="BJ29" s="214"/>
      <c r="BK29" s="215"/>
      <c r="BL29" s="214"/>
      <c r="BM29" s="215"/>
      <c r="BN29" s="214"/>
      <c r="BO29" s="215"/>
      <c r="BP29" s="214"/>
      <c r="BQ29" s="215"/>
      <c r="BR29" s="193">
        <f t="shared" si="0"/>
        <v>0</v>
      </c>
    </row>
    <row r="30" spans="1:256" s="79" customFormat="1">
      <c r="A30" s="234">
        <v>41091</v>
      </c>
      <c r="B30" s="257" t="s">
        <v>268</v>
      </c>
      <c r="C30" s="285" t="s">
        <v>735</v>
      </c>
      <c r="D30" s="214"/>
      <c r="E30" s="215"/>
      <c r="F30" s="214"/>
      <c r="G30" s="215">
        <v>13.5</v>
      </c>
      <c r="H30" s="214"/>
      <c r="I30" s="215"/>
      <c r="J30" s="214"/>
      <c r="K30" s="215"/>
      <c r="L30" s="214"/>
      <c r="M30" s="215"/>
      <c r="N30" s="214"/>
      <c r="O30" s="215"/>
      <c r="P30" s="214"/>
      <c r="Q30" s="215"/>
      <c r="R30" s="214"/>
      <c r="S30" s="215"/>
      <c r="T30" s="214">
        <v>13.5</v>
      </c>
      <c r="U30" s="215"/>
      <c r="V30" s="214"/>
      <c r="W30" s="215"/>
      <c r="X30" s="214"/>
      <c r="Y30" s="215"/>
      <c r="Z30" s="214"/>
      <c r="AA30" s="215"/>
      <c r="AB30" s="214"/>
      <c r="AC30" s="215"/>
      <c r="AD30" s="214"/>
      <c r="AE30" s="215"/>
      <c r="AF30" s="214"/>
      <c r="AG30" s="215"/>
      <c r="AH30" s="214"/>
      <c r="AI30" s="215"/>
      <c r="AJ30" s="214"/>
      <c r="AK30" s="215"/>
      <c r="AL30" s="214"/>
      <c r="AM30" s="215"/>
      <c r="AN30" s="214"/>
      <c r="AO30" s="215"/>
      <c r="AP30" s="214"/>
      <c r="AQ30" s="215"/>
      <c r="AR30" s="214"/>
      <c r="AS30" s="215"/>
      <c r="AT30" s="214"/>
      <c r="AU30" s="215"/>
      <c r="AV30" s="214"/>
      <c r="AW30" s="215"/>
      <c r="AX30" s="214"/>
      <c r="AY30" s="215"/>
      <c r="AZ30" s="214"/>
      <c r="BA30" s="215"/>
      <c r="BB30" s="214"/>
      <c r="BC30" s="215"/>
      <c r="BD30" s="214"/>
      <c r="BE30" s="215"/>
      <c r="BF30" s="214"/>
      <c r="BG30" s="215"/>
      <c r="BH30" s="214"/>
      <c r="BI30" s="215"/>
      <c r="BJ30" s="214"/>
      <c r="BK30" s="215"/>
      <c r="BL30" s="214"/>
      <c r="BM30" s="215"/>
      <c r="BN30" s="214"/>
      <c r="BO30" s="215"/>
      <c r="BP30" s="214"/>
      <c r="BQ30" s="215"/>
      <c r="BR30" s="193">
        <f t="shared" si="0"/>
        <v>0</v>
      </c>
    </row>
    <row r="31" spans="1:256" s="79" customFormat="1">
      <c r="A31" s="234">
        <v>41093</v>
      </c>
      <c r="B31" s="257" t="s">
        <v>591</v>
      </c>
      <c r="C31" s="284" t="s">
        <v>736</v>
      </c>
      <c r="D31" s="214"/>
      <c r="E31" s="215"/>
      <c r="F31" s="214">
        <v>200</v>
      </c>
      <c r="G31" s="215"/>
      <c r="H31" s="214"/>
      <c r="I31" s="215"/>
      <c r="J31" s="214"/>
      <c r="K31" s="215"/>
      <c r="L31" s="214"/>
      <c r="M31" s="215"/>
      <c r="N31" s="214"/>
      <c r="O31" s="215"/>
      <c r="P31" s="214"/>
      <c r="Q31" s="215"/>
      <c r="R31" s="214"/>
      <c r="S31" s="215"/>
      <c r="T31" s="214"/>
      <c r="U31" s="215"/>
      <c r="V31" s="214"/>
      <c r="W31" s="215"/>
      <c r="X31" s="214"/>
      <c r="Y31" s="215"/>
      <c r="Z31" s="214"/>
      <c r="AA31" s="215"/>
      <c r="AB31" s="214"/>
      <c r="AC31" s="215"/>
      <c r="AD31" s="214"/>
      <c r="AE31" s="215"/>
      <c r="AF31" s="214"/>
      <c r="AG31" s="215">
        <v>200</v>
      </c>
      <c r="AH31" s="214"/>
      <c r="AI31" s="215"/>
      <c r="AJ31" s="214"/>
      <c r="AK31" s="215"/>
      <c r="AL31" s="214"/>
      <c r="AM31" s="215"/>
      <c r="AN31" s="214"/>
      <c r="AO31" s="215"/>
      <c r="AP31" s="214"/>
      <c r="AQ31" s="215"/>
      <c r="AR31" s="214"/>
      <c r="AS31" s="215"/>
      <c r="AT31" s="214"/>
      <c r="AU31" s="215"/>
      <c r="AV31" s="214"/>
      <c r="AW31" s="215"/>
      <c r="AX31" s="214"/>
      <c r="AY31" s="215"/>
      <c r="AZ31" s="214"/>
      <c r="BA31" s="215"/>
      <c r="BB31" s="214"/>
      <c r="BC31" s="215"/>
      <c r="BD31" s="214"/>
      <c r="BE31" s="215"/>
      <c r="BF31" s="214"/>
      <c r="BG31" s="215"/>
      <c r="BH31" s="214"/>
      <c r="BI31" s="215"/>
      <c r="BJ31" s="214"/>
      <c r="BK31" s="215"/>
      <c r="BL31" s="214"/>
      <c r="BM31" s="215"/>
      <c r="BN31" s="214"/>
      <c r="BO31" s="215"/>
      <c r="BP31" s="214"/>
      <c r="BQ31" s="215"/>
      <c r="BR31" s="193">
        <f t="shared" si="0"/>
        <v>0</v>
      </c>
    </row>
    <row r="32" spans="1:256" s="79" customFormat="1">
      <c r="A32" s="234">
        <v>41099</v>
      </c>
      <c r="B32" s="273" t="s">
        <v>660</v>
      </c>
      <c r="C32" s="285" t="s">
        <v>737</v>
      </c>
      <c r="D32" s="214"/>
      <c r="E32" s="215"/>
      <c r="F32" s="214"/>
      <c r="G32" s="215">
        <v>2173</v>
      </c>
      <c r="H32" s="214"/>
      <c r="I32" s="215"/>
      <c r="J32" s="214"/>
      <c r="K32" s="215"/>
      <c r="L32" s="214"/>
      <c r="M32" s="215"/>
      <c r="N32" s="214"/>
      <c r="O32" s="215"/>
      <c r="P32" s="214"/>
      <c r="Q32" s="215"/>
      <c r="R32" s="214"/>
      <c r="S32" s="215"/>
      <c r="T32" s="214">
        <v>2173</v>
      </c>
      <c r="U32" s="215"/>
      <c r="V32" s="214"/>
      <c r="W32" s="215"/>
      <c r="X32" s="214"/>
      <c r="Y32" s="215"/>
      <c r="Z32" s="214"/>
      <c r="AA32" s="215"/>
      <c r="AB32" s="214"/>
      <c r="AC32" s="215"/>
      <c r="AD32" s="214"/>
      <c r="AE32" s="215"/>
      <c r="AF32" s="214"/>
      <c r="AG32" s="215"/>
      <c r="AH32" s="214"/>
      <c r="AI32" s="215"/>
      <c r="AJ32" s="214"/>
      <c r="AK32" s="215"/>
      <c r="AL32" s="214"/>
      <c r="AM32" s="215"/>
      <c r="AN32" s="214"/>
      <c r="AO32" s="215"/>
      <c r="AP32" s="214"/>
      <c r="AQ32" s="215"/>
      <c r="AR32" s="214"/>
      <c r="AS32" s="215"/>
      <c r="AT32" s="214"/>
      <c r="AU32" s="215"/>
      <c r="AV32" s="214"/>
      <c r="AW32" s="215"/>
      <c r="AX32" s="214"/>
      <c r="AY32" s="215"/>
      <c r="AZ32" s="214"/>
      <c r="BA32" s="215"/>
      <c r="BB32" s="214"/>
      <c r="BC32" s="215"/>
      <c r="BD32" s="214"/>
      <c r="BE32" s="215"/>
      <c r="BF32" s="214"/>
      <c r="BG32" s="215"/>
      <c r="BH32" s="214"/>
      <c r="BI32" s="215"/>
      <c r="BJ32" s="214"/>
      <c r="BK32" s="215"/>
      <c r="BL32" s="214"/>
      <c r="BM32" s="215"/>
      <c r="BN32" s="214"/>
      <c r="BO32" s="215"/>
      <c r="BP32" s="214"/>
      <c r="BQ32" s="215"/>
      <c r="BR32" s="193">
        <f t="shared" si="0"/>
        <v>0</v>
      </c>
    </row>
    <row r="33" spans="1:70" s="79" customFormat="1">
      <c r="A33" s="261">
        <v>41122</v>
      </c>
      <c r="B33" s="257" t="s">
        <v>268</v>
      </c>
      <c r="C33" s="284" t="s">
        <v>738</v>
      </c>
      <c r="D33" s="214"/>
      <c r="E33" s="215"/>
      <c r="F33" s="214"/>
      <c r="G33" s="215">
        <v>4.5</v>
      </c>
      <c r="H33" s="214"/>
      <c r="I33" s="215"/>
      <c r="J33" s="214"/>
      <c r="K33" s="215"/>
      <c r="L33" s="214"/>
      <c r="M33" s="215"/>
      <c r="N33" s="214"/>
      <c r="O33" s="215"/>
      <c r="P33" s="214"/>
      <c r="Q33" s="215"/>
      <c r="R33" s="214"/>
      <c r="S33" s="215"/>
      <c r="T33" s="214">
        <v>4.5</v>
      </c>
      <c r="U33" s="215"/>
      <c r="V33" s="214"/>
      <c r="W33" s="215"/>
      <c r="X33" s="214"/>
      <c r="Y33" s="215"/>
      <c r="Z33" s="214"/>
      <c r="AA33" s="215"/>
      <c r="AB33" s="214"/>
      <c r="AC33" s="215"/>
      <c r="AD33" s="214"/>
      <c r="AE33" s="215"/>
      <c r="AF33" s="214"/>
      <c r="AG33" s="215"/>
      <c r="AH33" s="214"/>
      <c r="AI33" s="215"/>
      <c r="AJ33" s="214"/>
      <c r="AK33" s="215"/>
      <c r="AL33" s="214"/>
      <c r="AM33" s="215"/>
      <c r="AN33" s="214"/>
      <c r="AO33" s="215"/>
      <c r="AP33" s="214"/>
      <c r="AQ33" s="215"/>
      <c r="AR33" s="214"/>
      <c r="AS33" s="215"/>
      <c r="AT33" s="214"/>
      <c r="AU33" s="215"/>
      <c r="AV33" s="214"/>
      <c r="AW33" s="215"/>
      <c r="AX33" s="214"/>
      <c r="AY33" s="215"/>
      <c r="AZ33" s="214"/>
      <c r="BA33" s="215"/>
      <c r="BB33" s="214"/>
      <c r="BC33" s="215"/>
      <c r="BD33" s="214"/>
      <c r="BE33" s="215"/>
      <c r="BF33" s="214"/>
      <c r="BG33" s="215"/>
      <c r="BH33" s="214"/>
      <c r="BI33" s="215"/>
      <c r="BJ33" s="214"/>
      <c r="BK33" s="215"/>
      <c r="BL33" s="214"/>
      <c r="BM33" s="215"/>
      <c r="BN33" s="214"/>
      <c r="BO33" s="215"/>
      <c r="BP33" s="214"/>
      <c r="BQ33" s="215"/>
      <c r="BR33" s="193">
        <f t="shared" si="0"/>
        <v>0</v>
      </c>
    </row>
    <row r="34" spans="1:70" s="79" customFormat="1">
      <c r="A34" s="234">
        <v>41182</v>
      </c>
      <c r="B34" s="273" t="s">
        <v>551</v>
      </c>
      <c r="C34" s="285" t="s">
        <v>739</v>
      </c>
      <c r="D34" s="214"/>
      <c r="E34" s="215"/>
      <c r="F34" s="214">
        <v>400</v>
      </c>
      <c r="G34" s="215"/>
      <c r="H34" s="214"/>
      <c r="I34" s="215"/>
      <c r="J34" s="214"/>
      <c r="K34" s="215"/>
      <c r="L34" s="214"/>
      <c r="M34" s="215"/>
      <c r="N34" s="214"/>
      <c r="O34" s="215"/>
      <c r="P34" s="214"/>
      <c r="Q34" s="215"/>
      <c r="R34" s="214"/>
      <c r="S34" s="215"/>
      <c r="T34" s="214"/>
      <c r="U34" s="215"/>
      <c r="V34" s="214"/>
      <c r="W34" s="215"/>
      <c r="X34" s="214"/>
      <c r="Y34" s="215"/>
      <c r="Z34" s="214"/>
      <c r="AA34" s="215"/>
      <c r="AB34" s="214"/>
      <c r="AC34" s="215"/>
      <c r="AD34" s="214"/>
      <c r="AE34" s="215"/>
      <c r="AF34" s="214"/>
      <c r="AG34" s="215">
        <v>400</v>
      </c>
      <c r="AH34" s="214"/>
      <c r="AI34" s="215"/>
      <c r="AJ34" s="214"/>
      <c r="AK34" s="215"/>
      <c r="AL34" s="214"/>
      <c r="AM34" s="215"/>
      <c r="AN34" s="214"/>
      <c r="AO34" s="215"/>
      <c r="AP34" s="214"/>
      <c r="AQ34" s="215"/>
      <c r="AR34" s="214"/>
      <c r="AS34" s="215"/>
      <c r="AT34" s="214"/>
      <c r="AU34" s="215"/>
      <c r="AV34" s="214"/>
      <c r="AW34" s="215"/>
      <c r="AX34" s="214"/>
      <c r="AY34" s="215"/>
      <c r="AZ34" s="214"/>
      <c r="BA34" s="215"/>
      <c r="BB34" s="214"/>
      <c r="BC34" s="215"/>
      <c r="BD34" s="214"/>
      <c r="BE34" s="215"/>
      <c r="BF34" s="214"/>
      <c r="BG34" s="215"/>
      <c r="BH34" s="214"/>
      <c r="BI34" s="215"/>
      <c r="BJ34" s="214"/>
      <c r="BK34" s="215"/>
      <c r="BL34" s="214"/>
      <c r="BM34" s="215"/>
      <c r="BN34" s="214"/>
      <c r="BO34" s="215"/>
      <c r="BP34" s="214"/>
      <c r="BQ34" s="215"/>
      <c r="BR34" s="193">
        <f t="shared" si="0"/>
        <v>0</v>
      </c>
    </row>
    <row r="35" spans="1:70" s="79" customFormat="1">
      <c r="A35" s="234">
        <v>41183</v>
      </c>
      <c r="B35" s="257" t="s">
        <v>593</v>
      </c>
      <c r="C35" s="284" t="s">
        <v>740</v>
      </c>
      <c r="D35" s="214"/>
      <c r="E35" s="215"/>
      <c r="F35" s="214"/>
      <c r="G35" s="215">
        <v>1411</v>
      </c>
      <c r="H35" s="214"/>
      <c r="I35" s="215"/>
      <c r="J35" s="214"/>
      <c r="K35" s="215"/>
      <c r="L35" s="214"/>
      <c r="M35" s="215"/>
      <c r="N35" s="214"/>
      <c r="O35" s="215"/>
      <c r="P35" s="214"/>
      <c r="Q35" s="215"/>
      <c r="R35" s="214">
        <v>1411</v>
      </c>
      <c r="S35" s="215"/>
      <c r="T35" s="214"/>
      <c r="U35" s="215"/>
      <c r="V35" s="214"/>
      <c r="W35" s="215"/>
      <c r="X35" s="214"/>
      <c r="Y35" s="215"/>
      <c r="Z35" s="214"/>
      <c r="AA35" s="215"/>
      <c r="AB35" s="214"/>
      <c r="AC35" s="215"/>
      <c r="AD35" s="214"/>
      <c r="AE35" s="215"/>
      <c r="AF35" s="214"/>
      <c r="AG35" s="215"/>
      <c r="AH35" s="214"/>
      <c r="AI35" s="215"/>
      <c r="AJ35" s="214"/>
      <c r="AK35" s="215"/>
      <c r="AL35" s="214"/>
      <c r="AM35" s="215"/>
      <c r="AN35" s="214"/>
      <c r="AO35" s="215"/>
      <c r="AP35" s="214"/>
      <c r="AQ35" s="215"/>
      <c r="AR35" s="214"/>
      <c r="AS35" s="215"/>
      <c r="AT35" s="214"/>
      <c r="AU35" s="215"/>
      <c r="AV35" s="214"/>
      <c r="AW35" s="215"/>
      <c r="AX35" s="214"/>
      <c r="AY35" s="215"/>
      <c r="AZ35" s="214"/>
      <c r="BA35" s="215"/>
      <c r="BB35" s="214"/>
      <c r="BC35" s="215"/>
      <c r="BD35" s="214"/>
      <c r="BE35" s="215"/>
      <c r="BF35" s="214"/>
      <c r="BG35" s="215"/>
      <c r="BH35" s="214"/>
      <c r="BI35" s="215"/>
      <c r="BJ35" s="214"/>
      <c r="BK35" s="215"/>
      <c r="BL35" s="214"/>
      <c r="BM35" s="215"/>
      <c r="BN35" s="214"/>
      <c r="BO35" s="215"/>
      <c r="BP35" s="214"/>
      <c r="BQ35" s="215"/>
      <c r="BR35" s="193">
        <f t="shared" si="0"/>
        <v>0</v>
      </c>
    </row>
    <row r="36" spans="1:70" s="79" customFormat="1">
      <c r="A36" s="234">
        <v>41204</v>
      </c>
      <c r="B36" s="273" t="s">
        <v>662</v>
      </c>
      <c r="C36" s="285" t="s">
        <v>741</v>
      </c>
      <c r="D36" s="214"/>
      <c r="E36" s="215"/>
      <c r="F36" s="214"/>
      <c r="G36" s="215">
        <v>10000</v>
      </c>
      <c r="H36" s="214">
        <v>5000</v>
      </c>
      <c r="I36" s="215"/>
      <c r="J36" s="214"/>
      <c r="K36" s="215"/>
      <c r="L36" s="214"/>
      <c r="M36" s="215"/>
      <c r="N36" s="214"/>
      <c r="O36" s="215"/>
      <c r="P36" s="214"/>
      <c r="Q36" s="215"/>
      <c r="R36" s="214"/>
      <c r="S36" s="215"/>
      <c r="T36" s="214"/>
      <c r="U36" s="215"/>
      <c r="V36" s="214"/>
      <c r="W36" s="215"/>
      <c r="X36" s="214"/>
      <c r="Y36" s="215"/>
      <c r="Z36" s="214"/>
      <c r="AA36" s="215"/>
      <c r="AB36" s="214"/>
      <c r="AC36" s="215"/>
      <c r="AD36" s="214"/>
      <c r="AE36" s="215"/>
      <c r="AF36" s="214"/>
      <c r="AG36" s="215"/>
      <c r="AH36" s="214"/>
      <c r="AI36" s="215"/>
      <c r="AJ36" s="214"/>
      <c r="AK36" s="215"/>
      <c r="AL36" s="214"/>
      <c r="AM36" s="215"/>
      <c r="AN36" s="214"/>
      <c r="AO36" s="215"/>
      <c r="AP36" s="214"/>
      <c r="AQ36" s="215"/>
      <c r="AR36" s="214"/>
      <c r="AS36" s="215"/>
      <c r="AT36" s="214"/>
      <c r="AU36" s="215"/>
      <c r="AV36" s="214"/>
      <c r="AW36" s="215"/>
      <c r="AX36" s="214"/>
      <c r="AY36" s="215"/>
      <c r="AZ36" s="214"/>
      <c r="BA36" s="215"/>
      <c r="BB36" s="214"/>
      <c r="BC36" s="215"/>
      <c r="BD36" s="214"/>
      <c r="BE36" s="215"/>
      <c r="BF36" s="214"/>
      <c r="BG36" s="215"/>
      <c r="BH36" s="214"/>
      <c r="BI36" s="215"/>
      <c r="BJ36" s="214"/>
      <c r="BK36" s="215"/>
      <c r="BL36" s="214"/>
      <c r="BM36" s="215"/>
      <c r="BN36" s="214">
        <v>5000</v>
      </c>
      <c r="BO36" s="215"/>
      <c r="BP36" s="214"/>
      <c r="BQ36" s="215"/>
      <c r="BR36" s="193">
        <f t="shared" si="0"/>
        <v>0</v>
      </c>
    </row>
    <row r="37" spans="1:70" s="79" customFormat="1">
      <c r="A37" s="234">
        <v>41214</v>
      </c>
      <c r="B37" s="257" t="s">
        <v>268</v>
      </c>
      <c r="C37" s="284" t="s">
        <v>742</v>
      </c>
      <c r="D37" s="214"/>
      <c r="E37" s="215"/>
      <c r="F37" s="214"/>
      <c r="G37" s="215">
        <v>4.5</v>
      </c>
      <c r="H37" s="214"/>
      <c r="I37" s="215"/>
      <c r="J37" s="214"/>
      <c r="K37" s="215"/>
      <c r="L37" s="214"/>
      <c r="M37" s="215"/>
      <c r="N37" s="214"/>
      <c r="O37" s="215"/>
      <c r="P37" s="214"/>
      <c r="Q37" s="215"/>
      <c r="R37" s="214"/>
      <c r="S37" s="215"/>
      <c r="T37" s="214">
        <v>4.5</v>
      </c>
      <c r="U37" s="215"/>
      <c r="V37" s="214"/>
      <c r="W37" s="215"/>
      <c r="X37" s="214"/>
      <c r="Y37" s="215"/>
      <c r="Z37" s="214"/>
      <c r="AA37" s="215"/>
      <c r="AB37" s="214"/>
      <c r="AC37" s="215"/>
      <c r="AD37" s="214"/>
      <c r="AE37" s="215"/>
      <c r="AF37" s="214"/>
      <c r="AG37" s="215"/>
      <c r="AH37" s="214"/>
      <c r="AI37" s="215"/>
      <c r="AJ37" s="214"/>
      <c r="AK37" s="215"/>
      <c r="AL37" s="214"/>
      <c r="AM37" s="215"/>
      <c r="AN37" s="214"/>
      <c r="AO37" s="215"/>
      <c r="AP37" s="214"/>
      <c r="AQ37" s="215"/>
      <c r="AR37" s="214"/>
      <c r="AS37" s="215"/>
      <c r="AT37" s="214"/>
      <c r="AU37" s="215"/>
      <c r="AV37" s="214"/>
      <c r="AW37" s="215"/>
      <c r="AX37" s="214"/>
      <c r="AY37" s="215"/>
      <c r="AZ37" s="214"/>
      <c r="BA37" s="215"/>
      <c r="BB37" s="214"/>
      <c r="BC37" s="215"/>
      <c r="BD37" s="214"/>
      <c r="BE37" s="215"/>
      <c r="BF37" s="214"/>
      <c r="BG37" s="215"/>
      <c r="BH37" s="214"/>
      <c r="BI37" s="215"/>
      <c r="BJ37" s="214"/>
      <c r="BK37" s="215"/>
      <c r="BL37" s="214"/>
      <c r="BM37" s="215"/>
      <c r="BN37" s="214"/>
      <c r="BO37" s="215"/>
      <c r="BP37" s="214"/>
      <c r="BQ37" s="215"/>
      <c r="BR37" s="193">
        <f t="shared" si="0"/>
        <v>0</v>
      </c>
    </row>
    <row r="38" spans="1:70" s="79" customFormat="1">
      <c r="A38" s="234">
        <v>41625</v>
      </c>
      <c r="B38" s="273" t="s">
        <v>663</v>
      </c>
      <c r="C38" s="284" t="s">
        <v>713</v>
      </c>
      <c r="D38" s="214"/>
      <c r="E38" s="215"/>
      <c r="F38" s="214"/>
      <c r="G38" s="215">
        <v>75000</v>
      </c>
      <c r="H38" s="214"/>
      <c r="I38" s="215"/>
      <c r="J38" s="214"/>
      <c r="K38" s="215"/>
      <c r="L38" s="214"/>
      <c r="M38" s="215"/>
      <c r="N38" s="214"/>
      <c r="O38" s="215"/>
      <c r="P38" s="214"/>
      <c r="Q38" s="215"/>
      <c r="R38" s="214"/>
      <c r="S38" s="215"/>
      <c r="T38" s="214"/>
      <c r="U38" s="215"/>
      <c r="V38" s="214"/>
      <c r="W38" s="215"/>
      <c r="X38" s="214"/>
      <c r="Y38" s="215"/>
      <c r="Z38" s="214"/>
      <c r="AA38" s="215"/>
      <c r="AB38" s="214"/>
      <c r="AC38" s="215"/>
      <c r="AD38" s="214"/>
      <c r="AE38" s="215"/>
      <c r="AF38" s="214"/>
      <c r="AG38" s="215"/>
      <c r="AH38" s="214">
        <v>75000</v>
      </c>
      <c r="AI38" s="215"/>
      <c r="AJ38" s="214"/>
      <c r="AK38" s="215"/>
      <c r="AL38" s="214"/>
      <c r="AM38" s="215"/>
      <c r="AN38" s="214"/>
      <c r="AO38" s="215"/>
      <c r="AP38" s="214"/>
      <c r="AQ38" s="215"/>
      <c r="AR38" s="214"/>
      <c r="AS38" s="215"/>
      <c r="AT38" s="214"/>
      <c r="AU38" s="215"/>
      <c r="AV38" s="214"/>
      <c r="AW38" s="215"/>
      <c r="AX38" s="214"/>
      <c r="AY38" s="215"/>
      <c r="AZ38" s="214"/>
      <c r="BA38" s="215"/>
      <c r="BB38" s="214"/>
      <c r="BC38" s="215"/>
      <c r="BD38" s="214"/>
      <c r="BE38" s="215"/>
      <c r="BF38" s="214"/>
      <c r="BG38" s="215"/>
      <c r="BH38" s="214"/>
      <c r="BI38" s="215"/>
      <c r="BJ38" s="214"/>
      <c r="BK38" s="215"/>
      <c r="BL38" s="214"/>
      <c r="BM38" s="215"/>
      <c r="BN38" s="214"/>
      <c r="BO38" s="215"/>
      <c r="BP38" s="214"/>
      <c r="BQ38" s="215"/>
      <c r="BR38" s="193">
        <f t="shared" si="0"/>
        <v>0</v>
      </c>
    </row>
    <row r="39" spans="1:70" s="79" customFormat="1">
      <c r="A39" s="234">
        <v>41639</v>
      </c>
      <c r="B39" s="273" t="s">
        <v>664</v>
      </c>
      <c r="C39" s="284" t="s">
        <v>743</v>
      </c>
      <c r="D39" s="214"/>
      <c r="E39" s="215"/>
      <c r="F39" s="214">
        <v>233.88</v>
      </c>
      <c r="G39" s="215"/>
      <c r="H39" s="214"/>
      <c r="I39" s="215"/>
      <c r="J39" s="214"/>
      <c r="K39" s="215"/>
      <c r="L39" s="214"/>
      <c r="M39" s="215"/>
      <c r="N39" s="214"/>
      <c r="O39" s="215"/>
      <c r="P39" s="214"/>
      <c r="Q39" s="215"/>
      <c r="R39" s="214"/>
      <c r="S39" s="215"/>
      <c r="T39" s="214"/>
      <c r="U39" s="215"/>
      <c r="V39" s="214"/>
      <c r="W39" s="215"/>
      <c r="X39" s="214"/>
      <c r="Y39" s="215"/>
      <c r="Z39" s="214"/>
      <c r="AA39" s="215"/>
      <c r="AB39" s="214"/>
      <c r="AC39" s="215"/>
      <c r="AD39" s="214"/>
      <c r="AE39" s="215"/>
      <c r="AF39" s="214"/>
      <c r="AG39" s="215"/>
      <c r="AH39" s="214"/>
      <c r="AI39" s="215"/>
      <c r="AJ39" s="214"/>
      <c r="AK39" s="215">
        <v>233.88</v>
      </c>
      <c r="AL39" s="214"/>
      <c r="AM39" s="215"/>
      <c r="AN39" s="214"/>
      <c r="AO39" s="215"/>
      <c r="AP39" s="214"/>
      <c r="AQ39" s="215"/>
      <c r="AR39" s="214"/>
      <c r="AS39" s="215"/>
      <c r="AT39" s="214"/>
      <c r="AU39" s="215"/>
      <c r="AV39" s="214"/>
      <c r="AW39" s="215"/>
      <c r="AX39" s="214"/>
      <c r="AY39" s="215"/>
      <c r="AZ39" s="214"/>
      <c r="BA39" s="215"/>
      <c r="BB39" s="214"/>
      <c r="BC39" s="215"/>
      <c r="BD39" s="214"/>
      <c r="BE39" s="215"/>
      <c r="BF39" s="214"/>
      <c r="BG39" s="215"/>
      <c r="BH39" s="214"/>
      <c r="BI39" s="215"/>
      <c r="BJ39" s="214"/>
      <c r="BK39" s="215"/>
      <c r="BL39" s="214"/>
      <c r="BM39" s="215"/>
      <c r="BN39" s="214"/>
      <c r="BO39" s="215"/>
      <c r="BP39" s="214"/>
      <c r="BQ39" s="215"/>
      <c r="BR39" s="193">
        <f t="shared" si="0"/>
        <v>0</v>
      </c>
    </row>
    <row r="40" spans="1:70" s="79" customFormat="1">
      <c r="A40" s="234">
        <v>41639</v>
      </c>
      <c r="B40" s="273" t="s">
        <v>665</v>
      </c>
      <c r="C40" s="284" t="s">
        <v>714</v>
      </c>
      <c r="D40" s="214"/>
      <c r="E40" s="215"/>
      <c r="F40" s="214"/>
      <c r="G40" s="215"/>
      <c r="H40" s="214"/>
      <c r="I40" s="215"/>
      <c r="J40" s="214"/>
      <c r="K40" s="215"/>
      <c r="L40" s="214"/>
      <c r="M40" s="215"/>
      <c r="N40" s="214"/>
      <c r="O40" s="215"/>
      <c r="P40" s="214"/>
      <c r="Q40" s="215"/>
      <c r="R40" s="214"/>
      <c r="S40" s="215"/>
      <c r="T40" s="214"/>
      <c r="U40" s="215"/>
      <c r="V40" s="214"/>
      <c r="W40" s="215"/>
      <c r="X40" s="214"/>
      <c r="Y40" s="215"/>
      <c r="Z40" s="214"/>
      <c r="AA40" s="215"/>
      <c r="AB40" s="214"/>
      <c r="AC40" s="215"/>
      <c r="AD40" s="214"/>
      <c r="AE40" s="215"/>
      <c r="AF40" s="214"/>
      <c r="AG40" s="215"/>
      <c r="AH40" s="274">
        <v>26167.360000000001</v>
      </c>
      <c r="AI40" s="215"/>
      <c r="AJ40" s="214"/>
      <c r="AK40" s="215">
        <v>26167.360000000001</v>
      </c>
      <c r="AL40" s="214"/>
      <c r="AM40" s="215"/>
      <c r="AN40" s="214"/>
      <c r="AO40" s="215"/>
      <c r="AP40" s="214"/>
      <c r="AQ40" s="215"/>
      <c r="AR40" s="214"/>
      <c r="AS40" s="215"/>
      <c r="AT40" s="214"/>
      <c r="AU40" s="215"/>
      <c r="AV40" s="214"/>
      <c r="AW40" s="215"/>
      <c r="AX40" s="214"/>
      <c r="AY40" s="215"/>
      <c r="AZ40" s="214"/>
      <c r="BA40" s="215"/>
      <c r="BB40" s="214"/>
      <c r="BC40" s="215"/>
      <c r="BD40" s="214"/>
      <c r="BE40" s="215"/>
      <c r="BF40" s="214"/>
      <c r="BG40" s="215"/>
      <c r="BH40" s="214"/>
      <c r="BI40" s="215"/>
      <c r="BJ40" s="214"/>
      <c r="BK40" s="215"/>
      <c r="BL40" s="214"/>
      <c r="BM40" s="215"/>
      <c r="BN40" s="214"/>
      <c r="BO40" s="215"/>
      <c r="BP40" s="214"/>
      <c r="BQ40" s="215"/>
      <c r="BR40" s="193">
        <f t="shared" ref="BR40:BR71" si="1">D40-E40+F40-G40+H40-I40+J40-K40+L40-M40+N40-O40+P40-Q40+R40-S40+T40-U40+V40-W40+X40-Y40+Z40-AA40+AB40-AC40+AD40-AE40+AF40-AG40+AH40-AI40+AJ40-AK40+AL40-AM40+AN40-AO40+AP40-AQ40+AR40-AS40+AT40-AU40+AV40-AW40+AX40-AY40+AZ40-BA40+BB40-BC40+BD40-BE40+BF40-BG40+BH40-BI40+BJ40-BK40+BL40-BM40+BN40-BO40+BP40-BQ40</f>
        <v>0</v>
      </c>
    </row>
    <row r="41" spans="1:70" s="79" customFormat="1">
      <c r="A41" s="234">
        <v>41274</v>
      </c>
      <c r="B41" s="280" t="s">
        <v>689</v>
      </c>
      <c r="C41" s="284" t="s">
        <v>744</v>
      </c>
      <c r="D41" s="214"/>
      <c r="E41" s="215"/>
      <c r="F41" s="214"/>
      <c r="G41" s="215"/>
      <c r="H41" s="214"/>
      <c r="I41" s="215"/>
      <c r="J41" s="214"/>
      <c r="K41" s="215"/>
      <c r="L41" s="214"/>
      <c r="M41" s="215"/>
      <c r="N41" s="214"/>
      <c r="O41" s="215"/>
      <c r="P41" s="214"/>
      <c r="Q41" s="215"/>
      <c r="R41" s="214"/>
      <c r="S41" s="215"/>
      <c r="T41" s="214"/>
      <c r="U41" s="215"/>
      <c r="V41" s="214"/>
      <c r="W41" s="215"/>
      <c r="X41" s="214"/>
      <c r="Y41" s="215"/>
      <c r="Z41" s="214"/>
      <c r="AA41" s="215"/>
      <c r="AB41" s="214">
        <v>534.28</v>
      </c>
      <c r="AC41" s="215"/>
      <c r="AD41" s="214"/>
      <c r="AE41" s="215"/>
      <c r="AF41" s="214"/>
      <c r="AG41" s="215"/>
      <c r="AH41" s="214"/>
      <c r="AI41" s="215"/>
      <c r="AJ41" s="214"/>
      <c r="AK41" s="215"/>
      <c r="AL41" s="214"/>
      <c r="AM41" s="215"/>
      <c r="AN41" s="214"/>
      <c r="AO41" s="215"/>
      <c r="AP41" s="214"/>
      <c r="AQ41" s="215"/>
      <c r="AR41" s="214"/>
      <c r="AS41" s="215"/>
      <c r="AT41" s="214"/>
      <c r="AU41" s="215"/>
      <c r="AV41" s="214"/>
      <c r="AW41" s="215"/>
      <c r="AX41" s="214"/>
      <c r="AY41" s="215"/>
      <c r="AZ41" s="214"/>
      <c r="BA41" s="215"/>
      <c r="BB41" s="214"/>
      <c r="BC41" s="215"/>
      <c r="BD41" s="214"/>
      <c r="BE41" s="215"/>
      <c r="BF41" s="214"/>
      <c r="BG41" s="215"/>
      <c r="BH41" s="214"/>
      <c r="BI41" s="215"/>
      <c r="BJ41" s="214"/>
      <c r="BK41" s="215"/>
      <c r="BL41" s="214"/>
      <c r="BM41" s="215"/>
      <c r="BN41" s="214"/>
      <c r="BO41" s="215">
        <v>534.28</v>
      </c>
      <c r="BP41" s="214"/>
      <c r="BQ41" s="215"/>
      <c r="BR41" s="193">
        <f t="shared" si="1"/>
        <v>0</v>
      </c>
    </row>
    <row r="42" spans="1:70" s="79" customFormat="1">
      <c r="A42" s="234"/>
      <c r="B42" s="257"/>
      <c r="C42" s="211"/>
      <c r="D42" s="214"/>
      <c r="E42" s="215"/>
      <c r="F42" s="214"/>
      <c r="G42" s="215"/>
      <c r="H42" s="214"/>
      <c r="I42" s="215"/>
      <c r="J42" s="214"/>
      <c r="K42" s="215"/>
      <c r="L42" s="214"/>
      <c r="M42" s="215"/>
      <c r="N42" s="214"/>
      <c r="O42" s="215"/>
      <c r="P42" s="214"/>
      <c r="Q42" s="215"/>
      <c r="R42" s="214"/>
      <c r="S42" s="215"/>
      <c r="T42" s="214"/>
      <c r="U42" s="215"/>
      <c r="V42" s="214"/>
      <c r="W42" s="215"/>
      <c r="X42" s="214"/>
      <c r="Y42" s="215"/>
      <c r="Z42" s="214"/>
      <c r="AA42" s="215"/>
      <c r="AB42" s="214"/>
      <c r="AC42" s="215"/>
      <c r="AD42" s="214"/>
      <c r="AE42" s="215"/>
      <c r="AF42" s="214"/>
      <c r="AG42" s="215"/>
      <c r="AH42" s="214"/>
      <c r="AI42" s="215"/>
      <c r="AJ42" s="214"/>
      <c r="AK42" s="215"/>
      <c r="AL42" s="214"/>
      <c r="AM42" s="215"/>
      <c r="AN42" s="214"/>
      <c r="AO42" s="215"/>
      <c r="AP42" s="214"/>
      <c r="AQ42" s="215"/>
      <c r="AR42" s="214"/>
      <c r="AS42" s="215"/>
      <c r="AT42" s="214"/>
      <c r="AU42" s="215"/>
      <c r="AV42" s="214"/>
      <c r="AW42" s="215"/>
      <c r="AX42" s="214"/>
      <c r="AY42" s="215"/>
      <c r="AZ42" s="214"/>
      <c r="BA42" s="215"/>
      <c r="BB42" s="214"/>
      <c r="BC42" s="215"/>
      <c r="BD42" s="214"/>
      <c r="BE42" s="215"/>
      <c r="BF42" s="214"/>
      <c r="BG42" s="215"/>
      <c r="BH42" s="214"/>
      <c r="BI42" s="215"/>
      <c r="BJ42" s="214"/>
      <c r="BK42" s="215"/>
      <c r="BL42" s="214"/>
      <c r="BM42" s="215"/>
      <c r="BN42" s="214"/>
      <c r="BO42" s="215"/>
      <c r="BP42" s="214"/>
      <c r="BQ42" s="215"/>
      <c r="BR42" s="193">
        <f t="shared" si="1"/>
        <v>0</v>
      </c>
    </row>
    <row r="43" spans="1:70" s="79" customFormat="1">
      <c r="A43" s="234"/>
      <c r="B43" s="257"/>
      <c r="C43" s="211"/>
      <c r="D43" s="214"/>
      <c r="E43" s="215"/>
      <c r="F43" s="214"/>
      <c r="G43" s="215"/>
      <c r="H43" s="214"/>
      <c r="I43" s="215"/>
      <c r="J43" s="214"/>
      <c r="K43" s="215"/>
      <c r="L43" s="214"/>
      <c r="M43" s="215"/>
      <c r="N43" s="214"/>
      <c r="O43" s="215"/>
      <c r="P43" s="214"/>
      <c r="Q43" s="215"/>
      <c r="R43" s="214"/>
      <c r="S43" s="215"/>
      <c r="T43" s="214"/>
      <c r="U43" s="215"/>
      <c r="V43" s="214"/>
      <c r="W43" s="215"/>
      <c r="X43" s="214"/>
      <c r="Y43" s="215"/>
      <c r="Z43" s="214"/>
      <c r="AA43" s="215"/>
      <c r="AB43" s="214"/>
      <c r="AC43" s="215"/>
      <c r="AD43" s="214"/>
      <c r="AE43" s="215"/>
      <c r="AF43" s="214"/>
      <c r="AG43" s="215"/>
      <c r="AH43" s="214"/>
      <c r="AI43" s="215"/>
      <c r="AJ43" s="214"/>
      <c r="AK43" s="215"/>
      <c r="AL43" s="214"/>
      <c r="AM43" s="215"/>
      <c r="AN43" s="214"/>
      <c r="AO43" s="215"/>
      <c r="AP43" s="214"/>
      <c r="AQ43" s="215"/>
      <c r="AR43" s="214"/>
      <c r="AS43" s="215"/>
      <c r="AT43" s="214"/>
      <c r="AU43" s="215"/>
      <c r="AV43" s="214"/>
      <c r="AW43" s="215"/>
      <c r="AX43" s="214"/>
      <c r="AY43" s="215"/>
      <c r="AZ43" s="214"/>
      <c r="BA43" s="215"/>
      <c r="BB43" s="214"/>
      <c r="BC43" s="215"/>
      <c r="BD43" s="214"/>
      <c r="BE43" s="215"/>
      <c r="BF43" s="214"/>
      <c r="BG43" s="215"/>
      <c r="BH43" s="214"/>
      <c r="BI43" s="215"/>
      <c r="BJ43" s="214"/>
      <c r="BK43" s="215"/>
      <c r="BL43" s="214"/>
      <c r="BM43" s="215"/>
      <c r="BN43" s="214"/>
      <c r="BO43" s="215"/>
      <c r="BP43" s="214"/>
      <c r="BQ43" s="215"/>
      <c r="BR43" s="193">
        <f t="shared" si="1"/>
        <v>0</v>
      </c>
    </row>
    <row r="44" spans="1:70" s="79" customFormat="1">
      <c r="A44" s="234"/>
      <c r="B44" s="257"/>
      <c r="C44" s="211"/>
      <c r="D44" s="214"/>
      <c r="E44" s="215"/>
      <c r="F44" s="214"/>
      <c r="G44" s="215"/>
      <c r="H44" s="214"/>
      <c r="I44" s="215"/>
      <c r="J44" s="214"/>
      <c r="K44" s="215"/>
      <c r="L44" s="214"/>
      <c r="M44" s="215"/>
      <c r="N44" s="214"/>
      <c r="O44" s="215"/>
      <c r="P44" s="214"/>
      <c r="Q44" s="215"/>
      <c r="R44" s="214"/>
      <c r="S44" s="215"/>
      <c r="T44" s="214"/>
      <c r="U44" s="215"/>
      <c r="V44" s="214"/>
      <c r="W44" s="215"/>
      <c r="X44" s="214"/>
      <c r="Y44" s="215"/>
      <c r="Z44" s="214"/>
      <c r="AA44" s="215"/>
      <c r="AB44" s="214"/>
      <c r="AC44" s="215"/>
      <c r="AD44" s="214"/>
      <c r="AE44" s="215"/>
      <c r="AF44" s="214"/>
      <c r="AG44" s="215"/>
      <c r="AH44" s="214"/>
      <c r="AI44" s="215"/>
      <c r="AJ44" s="214"/>
      <c r="AK44" s="215"/>
      <c r="AL44" s="214"/>
      <c r="AM44" s="215"/>
      <c r="AN44" s="214"/>
      <c r="AO44" s="215"/>
      <c r="AP44" s="214"/>
      <c r="AQ44" s="215"/>
      <c r="AR44" s="214"/>
      <c r="AS44" s="215"/>
      <c r="AT44" s="214"/>
      <c r="AU44" s="215"/>
      <c r="AV44" s="214"/>
      <c r="AW44" s="215"/>
      <c r="AX44" s="214"/>
      <c r="AY44" s="215"/>
      <c r="AZ44" s="214"/>
      <c r="BA44" s="215"/>
      <c r="BB44" s="214"/>
      <c r="BC44" s="215"/>
      <c r="BD44" s="214"/>
      <c r="BE44" s="215"/>
      <c r="BF44" s="214"/>
      <c r="BG44" s="215"/>
      <c r="BH44" s="214"/>
      <c r="BI44" s="215"/>
      <c r="BJ44" s="214"/>
      <c r="BK44" s="215"/>
      <c r="BL44" s="214"/>
      <c r="BM44" s="215"/>
      <c r="BN44" s="214"/>
      <c r="BO44" s="215"/>
      <c r="BP44" s="214"/>
      <c r="BQ44" s="215"/>
      <c r="BR44" s="193">
        <f t="shared" si="1"/>
        <v>0</v>
      </c>
    </row>
    <row r="45" spans="1:70" s="79" customFormat="1">
      <c r="A45" s="234"/>
      <c r="B45" s="257"/>
      <c r="C45" s="211"/>
      <c r="D45" s="214"/>
      <c r="E45" s="215"/>
      <c r="F45" s="214"/>
      <c r="G45" s="215"/>
      <c r="H45" s="214"/>
      <c r="I45" s="215"/>
      <c r="J45" s="214"/>
      <c r="K45" s="215"/>
      <c r="L45" s="214"/>
      <c r="M45" s="215"/>
      <c r="N45" s="214"/>
      <c r="O45" s="215"/>
      <c r="P45" s="214"/>
      <c r="Q45" s="215"/>
      <c r="R45" s="214"/>
      <c r="S45" s="215"/>
      <c r="T45" s="214"/>
      <c r="U45" s="215"/>
      <c r="V45" s="214"/>
      <c r="W45" s="215"/>
      <c r="X45" s="214"/>
      <c r="Y45" s="215"/>
      <c r="Z45" s="214"/>
      <c r="AA45" s="215"/>
      <c r="AB45" s="214"/>
      <c r="AC45" s="215"/>
      <c r="AD45" s="214"/>
      <c r="AE45" s="215"/>
      <c r="AF45" s="214"/>
      <c r="AG45" s="215"/>
      <c r="AH45" s="214"/>
      <c r="AI45" s="215"/>
      <c r="AJ45" s="214"/>
      <c r="AK45" s="215"/>
      <c r="AL45" s="214"/>
      <c r="AM45" s="215"/>
      <c r="AN45" s="214"/>
      <c r="AO45" s="215"/>
      <c r="AP45" s="214"/>
      <c r="AQ45" s="215"/>
      <c r="AR45" s="214"/>
      <c r="AS45" s="215"/>
      <c r="AT45" s="214"/>
      <c r="AU45" s="215"/>
      <c r="AV45" s="214"/>
      <c r="AW45" s="215"/>
      <c r="AX45" s="214"/>
      <c r="AY45" s="215"/>
      <c r="AZ45" s="214"/>
      <c r="BA45" s="215"/>
      <c r="BB45" s="214"/>
      <c r="BC45" s="215"/>
      <c r="BD45" s="214"/>
      <c r="BE45" s="215"/>
      <c r="BF45" s="214"/>
      <c r="BG45" s="215"/>
      <c r="BH45" s="214"/>
      <c r="BI45" s="215"/>
      <c r="BJ45" s="214"/>
      <c r="BK45" s="215"/>
      <c r="BL45" s="214"/>
      <c r="BM45" s="215"/>
      <c r="BN45" s="214"/>
      <c r="BO45" s="215"/>
      <c r="BP45" s="214"/>
      <c r="BQ45" s="215"/>
      <c r="BR45" s="193">
        <f t="shared" si="1"/>
        <v>0</v>
      </c>
    </row>
    <row r="46" spans="1:70" s="79" customFormat="1">
      <c r="A46" s="234"/>
      <c r="B46" s="257"/>
      <c r="C46" s="211"/>
      <c r="D46" s="214"/>
      <c r="E46" s="215"/>
      <c r="F46" s="214"/>
      <c r="G46" s="215"/>
      <c r="H46" s="214"/>
      <c r="I46" s="215"/>
      <c r="J46" s="214"/>
      <c r="K46" s="215"/>
      <c r="L46" s="214"/>
      <c r="M46" s="215"/>
      <c r="N46" s="214"/>
      <c r="O46" s="215"/>
      <c r="P46" s="214"/>
      <c r="Q46" s="215"/>
      <c r="R46" s="214"/>
      <c r="S46" s="215"/>
      <c r="T46" s="214"/>
      <c r="U46" s="215"/>
      <c r="V46" s="214"/>
      <c r="W46" s="215"/>
      <c r="X46" s="214"/>
      <c r="Y46" s="215"/>
      <c r="Z46" s="214"/>
      <c r="AA46" s="215"/>
      <c r="AB46" s="214"/>
      <c r="AC46" s="215"/>
      <c r="AD46" s="214"/>
      <c r="AE46" s="215"/>
      <c r="AF46" s="214"/>
      <c r="AG46" s="215"/>
      <c r="AH46" s="214"/>
      <c r="AI46" s="215"/>
      <c r="AJ46" s="214"/>
      <c r="AK46" s="215"/>
      <c r="AL46" s="214"/>
      <c r="AM46" s="215"/>
      <c r="AN46" s="214"/>
      <c r="AO46" s="215"/>
      <c r="AP46" s="214"/>
      <c r="AQ46" s="215"/>
      <c r="AR46" s="214"/>
      <c r="AS46" s="215"/>
      <c r="AT46" s="214"/>
      <c r="AU46" s="215"/>
      <c r="AV46" s="214"/>
      <c r="AW46" s="215"/>
      <c r="AX46" s="214"/>
      <c r="AY46" s="215"/>
      <c r="AZ46" s="214"/>
      <c r="BA46" s="215"/>
      <c r="BB46" s="214"/>
      <c r="BC46" s="215"/>
      <c r="BD46" s="214"/>
      <c r="BE46" s="215"/>
      <c r="BF46" s="214"/>
      <c r="BG46" s="215"/>
      <c r="BH46" s="214"/>
      <c r="BI46" s="215"/>
      <c r="BJ46" s="214"/>
      <c r="BK46" s="215"/>
      <c r="BL46" s="214"/>
      <c r="BM46" s="215"/>
      <c r="BN46" s="214"/>
      <c r="BO46" s="215"/>
      <c r="BP46" s="214"/>
      <c r="BQ46" s="215"/>
      <c r="BR46" s="193">
        <f t="shared" si="1"/>
        <v>0</v>
      </c>
    </row>
    <row r="47" spans="1:70" s="79" customFormat="1">
      <c r="A47" s="234"/>
      <c r="B47" s="257"/>
      <c r="C47" s="211"/>
      <c r="D47" s="214"/>
      <c r="E47" s="215"/>
      <c r="F47" s="214"/>
      <c r="G47" s="215"/>
      <c r="H47" s="214"/>
      <c r="I47" s="215"/>
      <c r="J47" s="214"/>
      <c r="K47" s="215"/>
      <c r="L47" s="214"/>
      <c r="M47" s="215"/>
      <c r="N47" s="214"/>
      <c r="O47" s="215"/>
      <c r="P47" s="214"/>
      <c r="Q47" s="215"/>
      <c r="R47" s="214"/>
      <c r="S47" s="215"/>
      <c r="T47" s="214"/>
      <c r="U47" s="215"/>
      <c r="V47" s="214"/>
      <c r="W47" s="215"/>
      <c r="X47" s="214"/>
      <c r="Y47" s="215"/>
      <c r="Z47" s="214"/>
      <c r="AA47" s="215"/>
      <c r="AB47" s="214"/>
      <c r="AC47" s="215"/>
      <c r="AD47" s="214"/>
      <c r="AE47" s="215"/>
      <c r="AF47" s="214"/>
      <c r="AG47" s="215"/>
      <c r="AH47" s="214"/>
      <c r="AI47" s="215"/>
      <c r="AJ47" s="214"/>
      <c r="AK47" s="215"/>
      <c r="AL47" s="214"/>
      <c r="AM47" s="215"/>
      <c r="AN47" s="214"/>
      <c r="AO47" s="215"/>
      <c r="AP47" s="214"/>
      <c r="AQ47" s="215"/>
      <c r="AR47" s="214"/>
      <c r="AS47" s="215"/>
      <c r="AT47" s="214"/>
      <c r="AU47" s="215"/>
      <c r="AV47" s="214"/>
      <c r="AW47" s="215"/>
      <c r="AX47" s="214"/>
      <c r="AY47" s="215"/>
      <c r="AZ47" s="214"/>
      <c r="BA47" s="215"/>
      <c r="BB47" s="214"/>
      <c r="BC47" s="215"/>
      <c r="BD47" s="214"/>
      <c r="BE47" s="215"/>
      <c r="BF47" s="214"/>
      <c r="BG47" s="215"/>
      <c r="BH47" s="214"/>
      <c r="BI47" s="215"/>
      <c r="BJ47" s="214"/>
      <c r="BK47" s="215"/>
      <c r="BL47" s="214"/>
      <c r="BM47" s="215"/>
      <c r="BN47" s="214"/>
      <c r="BO47" s="215"/>
      <c r="BP47" s="214"/>
      <c r="BQ47" s="215"/>
      <c r="BR47" s="193">
        <f t="shared" si="1"/>
        <v>0</v>
      </c>
    </row>
    <row r="48" spans="1:70" s="79" customFormat="1">
      <c r="A48" s="234"/>
      <c r="B48" s="257"/>
      <c r="C48" s="211"/>
      <c r="D48" s="214"/>
      <c r="E48" s="215"/>
      <c r="F48" s="214"/>
      <c r="G48" s="215"/>
      <c r="H48" s="214"/>
      <c r="I48" s="215"/>
      <c r="J48" s="214"/>
      <c r="K48" s="215"/>
      <c r="L48" s="214"/>
      <c r="M48" s="215"/>
      <c r="N48" s="214"/>
      <c r="O48" s="215"/>
      <c r="P48" s="214"/>
      <c r="Q48" s="215"/>
      <c r="R48" s="214"/>
      <c r="S48" s="215"/>
      <c r="T48" s="214"/>
      <c r="U48" s="215"/>
      <c r="V48" s="214"/>
      <c r="W48" s="215"/>
      <c r="X48" s="214"/>
      <c r="Y48" s="215"/>
      <c r="Z48" s="214"/>
      <c r="AA48" s="215"/>
      <c r="AB48" s="214"/>
      <c r="AC48" s="215"/>
      <c r="AD48" s="214"/>
      <c r="AE48" s="215"/>
      <c r="AF48" s="214"/>
      <c r="AG48" s="215"/>
      <c r="AH48" s="214"/>
      <c r="AI48" s="215"/>
      <c r="AJ48" s="214"/>
      <c r="AK48" s="215"/>
      <c r="AL48" s="214"/>
      <c r="AM48" s="215"/>
      <c r="AN48" s="214"/>
      <c r="AO48" s="215"/>
      <c r="AP48" s="214"/>
      <c r="AQ48" s="215"/>
      <c r="AR48" s="214"/>
      <c r="AS48" s="215"/>
      <c r="AT48" s="214"/>
      <c r="AU48" s="215"/>
      <c r="AV48" s="214"/>
      <c r="AW48" s="215"/>
      <c r="AX48" s="214"/>
      <c r="AY48" s="215"/>
      <c r="AZ48" s="214"/>
      <c r="BA48" s="215"/>
      <c r="BB48" s="214"/>
      <c r="BC48" s="215"/>
      <c r="BD48" s="214"/>
      <c r="BE48" s="215"/>
      <c r="BF48" s="214"/>
      <c r="BG48" s="215"/>
      <c r="BH48" s="214"/>
      <c r="BI48" s="215"/>
      <c r="BJ48" s="214"/>
      <c r="BK48" s="215"/>
      <c r="BL48" s="214"/>
      <c r="BM48" s="215"/>
      <c r="BN48" s="214"/>
      <c r="BO48" s="215"/>
      <c r="BP48" s="214"/>
      <c r="BQ48" s="215"/>
      <c r="BR48" s="193">
        <f t="shared" si="1"/>
        <v>0</v>
      </c>
    </row>
    <row r="49" spans="1:72" s="79" customFormat="1">
      <c r="A49" s="234"/>
      <c r="B49" s="188"/>
      <c r="C49" s="211"/>
      <c r="D49" s="214"/>
      <c r="E49" s="215"/>
      <c r="F49" s="214"/>
      <c r="G49" s="215"/>
      <c r="H49" s="214"/>
      <c r="I49" s="215"/>
      <c r="J49" s="214"/>
      <c r="K49" s="215"/>
      <c r="L49" s="214"/>
      <c r="M49" s="215"/>
      <c r="N49" s="214"/>
      <c r="O49" s="215"/>
      <c r="P49" s="214"/>
      <c r="Q49" s="215"/>
      <c r="R49" s="214"/>
      <c r="S49" s="215"/>
      <c r="T49" s="214"/>
      <c r="U49" s="215"/>
      <c r="V49" s="214"/>
      <c r="W49" s="215"/>
      <c r="X49" s="214"/>
      <c r="Y49" s="215"/>
      <c r="Z49" s="214"/>
      <c r="AA49" s="215"/>
      <c r="AB49" s="214"/>
      <c r="AC49" s="215"/>
      <c r="AD49" s="214"/>
      <c r="AE49" s="215"/>
      <c r="AF49" s="214"/>
      <c r="AG49" s="215"/>
      <c r="AH49" s="214"/>
      <c r="AI49" s="215"/>
      <c r="AJ49" s="214"/>
      <c r="AK49" s="215"/>
      <c r="AL49" s="214"/>
      <c r="AM49" s="215"/>
      <c r="AN49" s="214"/>
      <c r="AO49" s="215"/>
      <c r="AP49" s="214"/>
      <c r="AQ49" s="215"/>
      <c r="AR49" s="214"/>
      <c r="AS49" s="215"/>
      <c r="AT49" s="214"/>
      <c r="AU49" s="215"/>
      <c r="AV49" s="214"/>
      <c r="AW49" s="215"/>
      <c r="AX49" s="214"/>
      <c r="AY49" s="215"/>
      <c r="AZ49" s="214"/>
      <c r="BA49" s="215"/>
      <c r="BB49" s="214"/>
      <c r="BC49" s="215"/>
      <c r="BD49" s="214"/>
      <c r="BE49" s="215"/>
      <c r="BF49" s="214"/>
      <c r="BG49" s="215"/>
      <c r="BH49" s="214"/>
      <c r="BI49" s="215"/>
      <c r="BJ49" s="214"/>
      <c r="BK49" s="215"/>
      <c r="BL49" s="214"/>
      <c r="BM49" s="215"/>
      <c r="BN49" s="214"/>
      <c r="BO49" s="215"/>
      <c r="BP49" s="214"/>
      <c r="BQ49" s="215"/>
      <c r="BR49" s="193">
        <f t="shared" si="1"/>
        <v>0</v>
      </c>
    </row>
    <row r="50" spans="1:72" s="79" customFormat="1">
      <c r="A50" s="234"/>
      <c r="B50" s="188"/>
      <c r="C50" s="211"/>
      <c r="D50" s="214"/>
      <c r="E50" s="215"/>
      <c r="F50" s="214"/>
      <c r="G50" s="215"/>
      <c r="H50" s="214"/>
      <c r="I50" s="215"/>
      <c r="J50" s="214"/>
      <c r="K50" s="215"/>
      <c r="L50" s="214"/>
      <c r="M50" s="215"/>
      <c r="N50" s="214"/>
      <c r="O50" s="215"/>
      <c r="P50" s="214"/>
      <c r="Q50" s="215"/>
      <c r="R50" s="214"/>
      <c r="S50" s="215"/>
      <c r="T50" s="214"/>
      <c r="U50" s="215"/>
      <c r="V50" s="214"/>
      <c r="W50" s="215"/>
      <c r="X50" s="214"/>
      <c r="Y50" s="215"/>
      <c r="Z50" s="214"/>
      <c r="AA50" s="215"/>
      <c r="AB50" s="214"/>
      <c r="AC50" s="215"/>
      <c r="AD50" s="214"/>
      <c r="AE50" s="215"/>
      <c r="AF50" s="214"/>
      <c r="AG50" s="215"/>
      <c r="AH50" s="214"/>
      <c r="AI50" s="215"/>
      <c r="AJ50" s="214"/>
      <c r="AK50" s="215"/>
      <c r="AL50" s="214"/>
      <c r="AM50" s="215"/>
      <c r="AN50" s="214"/>
      <c r="AO50" s="215"/>
      <c r="AP50" s="214"/>
      <c r="AQ50" s="215"/>
      <c r="AR50" s="214"/>
      <c r="AS50" s="215"/>
      <c r="AT50" s="214"/>
      <c r="AU50" s="215"/>
      <c r="AV50" s="214"/>
      <c r="AW50" s="215"/>
      <c r="AX50" s="214"/>
      <c r="AY50" s="215"/>
      <c r="AZ50" s="214"/>
      <c r="BA50" s="215"/>
      <c r="BB50" s="214"/>
      <c r="BC50" s="215"/>
      <c r="BD50" s="214"/>
      <c r="BE50" s="215"/>
      <c r="BF50" s="214"/>
      <c r="BG50" s="215"/>
      <c r="BH50" s="214"/>
      <c r="BI50" s="215"/>
      <c r="BJ50" s="214"/>
      <c r="BK50" s="215"/>
      <c r="BL50" s="214"/>
      <c r="BM50" s="215"/>
      <c r="BN50" s="214"/>
      <c r="BO50" s="215"/>
      <c r="BP50" s="214"/>
      <c r="BQ50" s="215"/>
      <c r="BR50" s="193">
        <f t="shared" si="1"/>
        <v>0</v>
      </c>
    </row>
    <row r="51" spans="1:72" s="79" customFormat="1">
      <c r="A51" s="234"/>
      <c r="B51" s="188"/>
      <c r="C51" s="211"/>
      <c r="D51" s="214"/>
      <c r="E51" s="215"/>
      <c r="F51" s="214"/>
      <c r="G51" s="215"/>
      <c r="H51" s="214"/>
      <c r="I51" s="215"/>
      <c r="J51" s="214"/>
      <c r="K51" s="215"/>
      <c r="L51" s="214"/>
      <c r="M51" s="215"/>
      <c r="N51" s="214"/>
      <c r="O51" s="215"/>
      <c r="P51" s="214"/>
      <c r="Q51" s="215"/>
      <c r="R51" s="214"/>
      <c r="S51" s="215"/>
      <c r="T51" s="214"/>
      <c r="U51" s="215"/>
      <c r="V51" s="214"/>
      <c r="W51" s="215"/>
      <c r="X51" s="214"/>
      <c r="Y51" s="215"/>
      <c r="Z51" s="214"/>
      <c r="AA51" s="215"/>
      <c r="AB51" s="214"/>
      <c r="AC51" s="215"/>
      <c r="AD51" s="214"/>
      <c r="AE51" s="215"/>
      <c r="AF51" s="214"/>
      <c r="AG51" s="215"/>
      <c r="AH51" s="214"/>
      <c r="AI51" s="215"/>
      <c r="AJ51" s="214"/>
      <c r="AK51" s="215"/>
      <c r="AL51" s="214"/>
      <c r="AM51" s="215"/>
      <c r="AN51" s="214"/>
      <c r="AO51" s="215"/>
      <c r="AP51" s="214"/>
      <c r="AQ51" s="215"/>
      <c r="AR51" s="214"/>
      <c r="AS51" s="215"/>
      <c r="AT51" s="214"/>
      <c r="AU51" s="215"/>
      <c r="AV51" s="214"/>
      <c r="AW51" s="215"/>
      <c r="AX51" s="214"/>
      <c r="AY51" s="215"/>
      <c r="AZ51" s="214"/>
      <c r="BA51" s="215"/>
      <c r="BB51" s="214"/>
      <c r="BC51" s="215"/>
      <c r="BD51" s="214"/>
      <c r="BE51" s="215"/>
      <c r="BF51" s="214"/>
      <c r="BG51" s="215"/>
      <c r="BH51" s="214"/>
      <c r="BI51" s="215"/>
      <c r="BJ51" s="214"/>
      <c r="BK51" s="215"/>
      <c r="BL51" s="214"/>
      <c r="BM51" s="215"/>
      <c r="BN51" s="214"/>
      <c r="BO51" s="215"/>
      <c r="BP51" s="214"/>
      <c r="BQ51" s="215"/>
      <c r="BR51" s="193">
        <f t="shared" si="1"/>
        <v>0</v>
      </c>
    </row>
    <row r="52" spans="1:72" s="79" customFormat="1">
      <c r="A52" s="234"/>
      <c r="B52" s="188"/>
      <c r="C52" s="211"/>
      <c r="D52" s="214"/>
      <c r="E52" s="215"/>
      <c r="F52" s="214"/>
      <c r="G52" s="215"/>
      <c r="H52" s="214"/>
      <c r="I52" s="215"/>
      <c r="J52" s="214"/>
      <c r="K52" s="215"/>
      <c r="L52" s="214"/>
      <c r="M52" s="215"/>
      <c r="N52" s="214"/>
      <c r="O52" s="215"/>
      <c r="P52" s="214"/>
      <c r="Q52" s="215"/>
      <c r="R52" s="214"/>
      <c r="S52" s="215"/>
      <c r="T52" s="214"/>
      <c r="U52" s="215"/>
      <c r="V52" s="214"/>
      <c r="W52" s="215"/>
      <c r="X52" s="214"/>
      <c r="Y52" s="215"/>
      <c r="Z52" s="214"/>
      <c r="AA52" s="215"/>
      <c r="AB52" s="214"/>
      <c r="AC52" s="215"/>
      <c r="AD52" s="214"/>
      <c r="AE52" s="215"/>
      <c r="AF52" s="214"/>
      <c r="AG52" s="215"/>
      <c r="AH52" s="214"/>
      <c r="AI52" s="215"/>
      <c r="AJ52" s="214"/>
      <c r="AK52" s="215"/>
      <c r="AL52" s="214"/>
      <c r="AM52" s="215"/>
      <c r="AN52" s="214"/>
      <c r="AO52" s="215"/>
      <c r="AP52" s="214"/>
      <c r="AQ52" s="215"/>
      <c r="AR52" s="214"/>
      <c r="AS52" s="215"/>
      <c r="AT52" s="214"/>
      <c r="AU52" s="215"/>
      <c r="AV52" s="214"/>
      <c r="AW52" s="215"/>
      <c r="AX52" s="214"/>
      <c r="AY52" s="215"/>
      <c r="AZ52" s="214"/>
      <c r="BA52" s="215"/>
      <c r="BB52" s="214"/>
      <c r="BC52" s="215"/>
      <c r="BD52" s="214"/>
      <c r="BE52" s="215"/>
      <c r="BF52" s="214"/>
      <c r="BG52" s="215"/>
      <c r="BH52" s="214"/>
      <c r="BI52" s="215"/>
      <c r="BJ52" s="214"/>
      <c r="BK52" s="215"/>
      <c r="BL52" s="214"/>
      <c r="BM52" s="215"/>
      <c r="BN52" s="214"/>
      <c r="BO52" s="215"/>
      <c r="BP52" s="214"/>
      <c r="BQ52" s="215"/>
      <c r="BR52" s="193">
        <f t="shared" si="1"/>
        <v>0</v>
      </c>
    </row>
    <row r="53" spans="1:72" s="79" customFormat="1">
      <c r="A53" s="234"/>
      <c r="B53" s="188"/>
      <c r="C53" s="211"/>
      <c r="D53" s="214"/>
      <c r="E53" s="215"/>
      <c r="F53" s="214"/>
      <c r="G53" s="215"/>
      <c r="H53" s="214"/>
      <c r="I53" s="215"/>
      <c r="J53" s="214"/>
      <c r="K53" s="215"/>
      <c r="L53" s="214"/>
      <c r="M53" s="215"/>
      <c r="N53" s="214"/>
      <c r="O53" s="215"/>
      <c r="P53" s="214"/>
      <c r="Q53" s="215"/>
      <c r="R53" s="214"/>
      <c r="S53" s="215"/>
      <c r="T53" s="214"/>
      <c r="U53" s="215"/>
      <c r="V53" s="214"/>
      <c r="W53" s="215"/>
      <c r="X53" s="214"/>
      <c r="Y53" s="215"/>
      <c r="Z53" s="214"/>
      <c r="AA53" s="215"/>
      <c r="AB53" s="214"/>
      <c r="AC53" s="215"/>
      <c r="AD53" s="214"/>
      <c r="AE53" s="215"/>
      <c r="AF53" s="214"/>
      <c r="AG53" s="215"/>
      <c r="AH53" s="214"/>
      <c r="AI53" s="215"/>
      <c r="AJ53" s="214"/>
      <c r="AK53" s="215"/>
      <c r="AL53" s="214"/>
      <c r="AM53" s="215"/>
      <c r="AN53" s="214"/>
      <c r="AO53" s="215"/>
      <c r="AP53" s="214"/>
      <c r="AQ53" s="215"/>
      <c r="AR53" s="214"/>
      <c r="AS53" s="215"/>
      <c r="AT53" s="214"/>
      <c r="AU53" s="215"/>
      <c r="AV53" s="214"/>
      <c r="AW53" s="215"/>
      <c r="AX53" s="214"/>
      <c r="AY53" s="215"/>
      <c r="AZ53" s="214"/>
      <c r="BA53" s="215"/>
      <c r="BB53" s="214"/>
      <c r="BC53" s="215"/>
      <c r="BD53" s="214"/>
      <c r="BE53" s="215"/>
      <c r="BF53" s="214"/>
      <c r="BG53" s="215"/>
      <c r="BH53" s="214"/>
      <c r="BI53" s="215"/>
      <c r="BJ53" s="214"/>
      <c r="BK53" s="215"/>
      <c r="BL53" s="214"/>
      <c r="BM53" s="215"/>
      <c r="BN53" s="214"/>
      <c r="BO53" s="215"/>
      <c r="BP53" s="214"/>
      <c r="BQ53" s="215"/>
      <c r="BR53" s="193">
        <f t="shared" si="1"/>
        <v>0</v>
      </c>
    </row>
    <row r="54" spans="1:72" s="79" customFormat="1">
      <c r="A54" s="234"/>
      <c r="B54" s="188"/>
      <c r="C54" s="211"/>
      <c r="D54" s="214"/>
      <c r="E54" s="215"/>
      <c r="F54" s="214"/>
      <c r="G54" s="215"/>
      <c r="H54" s="214"/>
      <c r="I54" s="215"/>
      <c r="J54" s="214"/>
      <c r="K54" s="215"/>
      <c r="L54" s="214"/>
      <c r="M54" s="215"/>
      <c r="N54" s="214"/>
      <c r="O54" s="215"/>
      <c r="P54" s="214"/>
      <c r="Q54" s="215"/>
      <c r="R54" s="214"/>
      <c r="S54" s="215"/>
      <c r="T54" s="214"/>
      <c r="U54" s="215"/>
      <c r="V54" s="214"/>
      <c r="W54" s="215"/>
      <c r="X54" s="214"/>
      <c r="Y54" s="215"/>
      <c r="Z54" s="214"/>
      <c r="AA54" s="215"/>
      <c r="AB54" s="214"/>
      <c r="AC54" s="215"/>
      <c r="AD54" s="214"/>
      <c r="AE54" s="215"/>
      <c r="AF54" s="214"/>
      <c r="AG54" s="215"/>
      <c r="AH54" s="214"/>
      <c r="AI54" s="215"/>
      <c r="AJ54" s="214"/>
      <c r="AK54" s="215"/>
      <c r="AL54" s="214"/>
      <c r="AM54" s="215"/>
      <c r="AN54" s="214"/>
      <c r="AO54" s="215"/>
      <c r="AP54" s="214"/>
      <c r="AQ54" s="215"/>
      <c r="AR54" s="214"/>
      <c r="AS54" s="215"/>
      <c r="AT54" s="214"/>
      <c r="AU54" s="215"/>
      <c r="AV54" s="214"/>
      <c r="AW54" s="215"/>
      <c r="AX54" s="214"/>
      <c r="AY54" s="215"/>
      <c r="AZ54" s="214"/>
      <c r="BA54" s="215"/>
      <c r="BB54" s="214"/>
      <c r="BC54" s="215"/>
      <c r="BD54" s="214"/>
      <c r="BE54" s="215"/>
      <c r="BF54" s="214"/>
      <c r="BG54" s="215"/>
      <c r="BH54" s="214"/>
      <c r="BI54" s="215"/>
      <c r="BJ54" s="214"/>
      <c r="BK54" s="215"/>
      <c r="BL54" s="214"/>
      <c r="BM54" s="215"/>
      <c r="BN54" s="214"/>
      <c r="BO54" s="215"/>
      <c r="BP54" s="214"/>
      <c r="BQ54" s="215"/>
      <c r="BR54" s="193">
        <f t="shared" si="1"/>
        <v>0</v>
      </c>
    </row>
    <row r="55" spans="1:72" s="79" customFormat="1">
      <c r="A55" s="234"/>
      <c r="B55" s="188"/>
      <c r="C55" s="211"/>
      <c r="D55" s="214"/>
      <c r="E55" s="215"/>
      <c r="F55" s="214"/>
      <c r="G55" s="215"/>
      <c r="H55" s="214"/>
      <c r="I55" s="215"/>
      <c r="J55" s="214"/>
      <c r="K55" s="215"/>
      <c r="L55" s="214"/>
      <c r="M55" s="215"/>
      <c r="N55" s="214"/>
      <c r="O55" s="215"/>
      <c r="P55" s="214"/>
      <c r="Q55" s="215"/>
      <c r="R55" s="214"/>
      <c r="S55" s="215"/>
      <c r="T55" s="214"/>
      <c r="U55" s="215"/>
      <c r="V55" s="214"/>
      <c r="W55" s="215"/>
      <c r="X55" s="214"/>
      <c r="Y55" s="215"/>
      <c r="Z55" s="214"/>
      <c r="AA55" s="215"/>
      <c r="AB55" s="214"/>
      <c r="AC55" s="215"/>
      <c r="AD55" s="214"/>
      <c r="AE55" s="215"/>
      <c r="AF55" s="214"/>
      <c r="AG55" s="215"/>
      <c r="AH55" s="214"/>
      <c r="AI55" s="215"/>
      <c r="AJ55" s="214"/>
      <c r="AK55" s="215"/>
      <c r="AL55" s="214"/>
      <c r="AM55" s="215"/>
      <c r="AN55" s="214"/>
      <c r="AO55" s="215"/>
      <c r="AP55" s="214"/>
      <c r="AQ55" s="215"/>
      <c r="AR55" s="214"/>
      <c r="AS55" s="215"/>
      <c r="AT55" s="214"/>
      <c r="AU55" s="215"/>
      <c r="AV55" s="214"/>
      <c r="AW55" s="215"/>
      <c r="AX55" s="214"/>
      <c r="AY55" s="215"/>
      <c r="AZ55" s="214"/>
      <c r="BA55" s="215"/>
      <c r="BB55" s="214"/>
      <c r="BC55" s="215"/>
      <c r="BD55" s="214"/>
      <c r="BE55" s="215"/>
      <c r="BF55" s="214"/>
      <c r="BG55" s="215"/>
      <c r="BH55" s="214"/>
      <c r="BI55" s="215"/>
      <c r="BJ55" s="214"/>
      <c r="BK55" s="215"/>
      <c r="BL55" s="214"/>
      <c r="BM55" s="215"/>
      <c r="BN55" s="214"/>
      <c r="BO55" s="215"/>
      <c r="BP55" s="214"/>
      <c r="BQ55" s="215"/>
      <c r="BR55" s="193">
        <f t="shared" si="1"/>
        <v>0</v>
      </c>
    </row>
    <row r="56" spans="1:72" s="79" customFormat="1">
      <c r="A56" s="234"/>
      <c r="B56" s="188"/>
      <c r="C56" s="211"/>
      <c r="D56" s="214"/>
      <c r="E56" s="215"/>
      <c r="F56" s="214"/>
      <c r="G56" s="215"/>
      <c r="H56" s="214"/>
      <c r="I56" s="215"/>
      <c r="J56" s="214"/>
      <c r="K56" s="215"/>
      <c r="L56" s="214"/>
      <c r="M56" s="215"/>
      <c r="N56" s="214"/>
      <c r="O56" s="215"/>
      <c r="P56" s="214"/>
      <c r="Q56" s="215"/>
      <c r="R56" s="214"/>
      <c r="S56" s="215"/>
      <c r="T56" s="214"/>
      <c r="U56" s="215"/>
      <c r="V56" s="214"/>
      <c r="W56" s="215"/>
      <c r="X56" s="214"/>
      <c r="Y56" s="215"/>
      <c r="Z56" s="214"/>
      <c r="AA56" s="215"/>
      <c r="AB56" s="214"/>
      <c r="AC56" s="215"/>
      <c r="AD56" s="214"/>
      <c r="AE56" s="215"/>
      <c r="AF56" s="214"/>
      <c r="AG56" s="215"/>
      <c r="AH56" s="214"/>
      <c r="AI56" s="215"/>
      <c r="AJ56" s="214"/>
      <c r="AK56" s="215"/>
      <c r="AL56" s="214"/>
      <c r="AM56" s="215"/>
      <c r="AN56" s="214"/>
      <c r="AO56" s="215"/>
      <c r="AP56" s="214"/>
      <c r="AQ56" s="215"/>
      <c r="AR56" s="214"/>
      <c r="AS56" s="215"/>
      <c r="AT56" s="214"/>
      <c r="AU56" s="215"/>
      <c r="AV56" s="214"/>
      <c r="AW56" s="215"/>
      <c r="AX56" s="214"/>
      <c r="AY56" s="215"/>
      <c r="AZ56" s="214"/>
      <c r="BA56" s="215"/>
      <c r="BB56" s="214"/>
      <c r="BC56" s="215"/>
      <c r="BD56" s="214"/>
      <c r="BE56" s="215"/>
      <c r="BF56" s="214"/>
      <c r="BG56" s="215"/>
      <c r="BH56" s="214"/>
      <c r="BI56" s="215"/>
      <c r="BJ56" s="214"/>
      <c r="BK56" s="215"/>
      <c r="BL56" s="214"/>
      <c r="BM56" s="215"/>
      <c r="BN56" s="214"/>
      <c r="BO56" s="215"/>
      <c r="BP56" s="214"/>
      <c r="BQ56" s="215"/>
      <c r="BR56" s="193">
        <f t="shared" si="1"/>
        <v>0</v>
      </c>
    </row>
    <row r="57" spans="1:72" s="79" customFormat="1">
      <c r="A57" s="234"/>
      <c r="B57" s="188"/>
      <c r="C57" s="211"/>
      <c r="D57" s="214"/>
      <c r="E57" s="215"/>
      <c r="F57" s="214"/>
      <c r="G57" s="215"/>
      <c r="H57" s="214"/>
      <c r="I57" s="215"/>
      <c r="J57" s="214"/>
      <c r="K57" s="215"/>
      <c r="L57" s="214"/>
      <c r="M57" s="215"/>
      <c r="N57" s="214"/>
      <c r="O57" s="215"/>
      <c r="P57" s="214"/>
      <c r="Q57" s="215"/>
      <c r="R57" s="214"/>
      <c r="S57" s="215"/>
      <c r="T57" s="214"/>
      <c r="U57" s="215"/>
      <c r="V57" s="214"/>
      <c r="W57" s="215"/>
      <c r="X57" s="214"/>
      <c r="Y57" s="215"/>
      <c r="Z57" s="214"/>
      <c r="AA57" s="215"/>
      <c r="AB57" s="214"/>
      <c r="AC57" s="215"/>
      <c r="AD57" s="214"/>
      <c r="AE57" s="215"/>
      <c r="AF57" s="214"/>
      <c r="AG57" s="215"/>
      <c r="AH57" s="214"/>
      <c r="AI57" s="215"/>
      <c r="AJ57" s="214"/>
      <c r="AK57" s="215"/>
      <c r="AL57" s="214"/>
      <c r="AM57" s="215"/>
      <c r="AN57" s="214"/>
      <c r="AO57" s="215"/>
      <c r="AP57" s="214"/>
      <c r="AQ57" s="215"/>
      <c r="AR57" s="214"/>
      <c r="AS57" s="215"/>
      <c r="AT57" s="214"/>
      <c r="AU57" s="215"/>
      <c r="AV57" s="214"/>
      <c r="AW57" s="215"/>
      <c r="AX57" s="214"/>
      <c r="AY57" s="215"/>
      <c r="AZ57" s="214"/>
      <c r="BA57" s="215"/>
      <c r="BB57" s="214"/>
      <c r="BC57" s="215"/>
      <c r="BD57" s="214"/>
      <c r="BE57" s="215"/>
      <c r="BF57" s="214"/>
      <c r="BG57" s="215"/>
      <c r="BH57" s="214"/>
      <c r="BI57" s="215"/>
      <c r="BJ57" s="214"/>
      <c r="BK57" s="215"/>
      <c r="BL57" s="214"/>
      <c r="BM57" s="215"/>
      <c r="BN57" s="214"/>
      <c r="BO57" s="215"/>
      <c r="BP57" s="214"/>
      <c r="BQ57" s="215"/>
      <c r="BR57" s="193">
        <f t="shared" si="1"/>
        <v>0</v>
      </c>
    </row>
    <row r="58" spans="1:72" s="79" customFormat="1">
      <c r="A58" s="234"/>
      <c r="B58" s="188"/>
      <c r="C58" s="211"/>
      <c r="D58" s="214"/>
      <c r="E58" s="215"/>
      <c r="F58" s="214"/>
      <c r="G58" s="215"/>
      <c r="H58" s="214"/>
      <c r="I58" s="215"/>
      <c r="J58" s="214"/>
      <c r="K58" s="215"/>
      <c r="L58" s="214"/>
      <c r="M58" s="215"/>
      <c r="N58" s="214"/>
      <c r="O58" s="215"/>
      <c r="P58" s="214"/>
      <c r="Q58" s="215"/>
      <c r="R58" s="214"/>
      <c r="S58" s="215"/>
      <c r="T58" s="214"/>
      <c r="U58" s="215"/>
      <c r="V58" s="214"/>
      <c r="W58" s="215"/>
      <c r="X58" s="214"/>
      <c r="Y58" s="215"/>
      <c r="Z58" s="214"/>
      <c r="AA58" s="215"/>
      <c r="AB58" s="214"/>
      <c r="AC58" s="215"/>
      <c r="AD58" s="214"/>
      <c r="AE58" s="215"/>
      <c r="AF58" s="214"/>
      <c r="AG58" s="215"/>
      <c r="AH58" s="214"/>
      <c r="AI58" s="215"/>
      <c r="AJ58" s="214"/>
      <c r="AK58" s="215"/>
      <c r="AL58" s="214"/>
      <c r="AM58" s="215"/>
      <c r="AN58" s="214"/>
      <c r="AO58" s="215"/>
      <c r="AP58" s="214"/>
      <c r="AQ58" s="215"/>
      <c r="AR58" s="214"/>
      <c r="AS58" s="215"/>
      <c r="AT58" s="214"/>
      <c r="AU58" s="215"/>
      <c r="AV58" s="214"/>
      <c r="AW58" s="215"/>
      <c r="AX58" s="214"/>
      <c r="AY58" s="215"/>
      <c r="AZ58" s="214"/>
      <c r="BA58" s="215"/>
      <c r="BB58" s="214"/>
      <c r="BC58" s="215"/>
      <c r="BD58" s="214"/>
      <c r="BE58" s="215"/>
      <c r="BF58" s="214"/>
      <c r="BG58" s="215"/>
      <c r="BH58" s="214"/>
      <c r="BI58" s="215"/>
      <c r="BJ58" s="214"/>
      <c r="BK58" s="215"/>
      <c r="BL58" s="214"/>
      <c r="BM58" s="215"/>
      <c r="BN58" s="214"/>
      <c r="BO58" s="215"/>
      <c r="BP58" s="214"/>
      <c r="BQ58" s="215"/>
      <c r="BR58" s="193">
        <f t="shared" si="1"/>
        <v>0</v>
      </c>
    </row>
    <row r="59" spans="1:72" s="79" customFormat="1">
      <c r="A59" s="234"/>
      <c r="B59" s="188"/>
      <c r="C59" s="211"/>
      <c r="D59" s="214"/>
      <c r="E59" s="215"/>
      <c r="F59" s="214"/>
      <c r="G59" s="215"/>
      <c r="H59" s="214"/>
      <c r="I59" s="215"/>
      <c r="J59" s="214"/>
      <c r="K59" s="215"/>
      <c r="L59" s="214"/>
      <c r="M59" s="215"/>
      <c r="N59" s="214"/>
      <c r="O59" s="215"/>
      <c r="P59" s="214"/>
      <c r="Q59" s="215"/>
      <c r="R59" s="214"/>
      <c r="S59" s="215"/>
      <c r="T59" s="214"/>
      <c r="U59" s="215"/>
      <c r="V59" s="214"/>
      <c r="W59" s="215"/>
      <c r="X59" s="214"/>
      <c r="Y59" s="215"/>
      <c r="Z59" s="214"/>
      <c r="AA59" s="215"/>
      <c r="AB59" s="214"/>
      <c r="AC59" s="215"/>
      <c r="AD59" s="214"/>
      <c r="AE59" s="215"/>
      <c r="AF59" s="214"/>
      <c r="AG59" s="215"/>
      <c r="AH59" s="214"/>
      <c r="AI59" s="215"/>
      <c r="AJ59" s="214"/>
      <c r="AK59" s="215"/>
      <c r="AL59" s="214"/>
      <c r="AM59" s="215"/>
      <c r="AN59" s="214"/>
      <c r="AO59" s="215"/>
      <c r="AP59" s="214"/>
      <c r="AQ59" s="215"/>
      <c r="AR59" s="214"/>
      <c r="AS59" s="215"/>
      <c r="AT59" s="214"/>
      <c r="AU59" s="215"/>
      <c r="AV59" s="214"/>
      <c r="AW59" s="215"/>
      <c r="AX59" s="214"/>
      <c r="AY59" s="215"/>
      <c r="AZ59" s="214"/>
      <c r="BA59" s="215"/>
      <c r="BB59" s="214"/>
      <c r="BC59" s="215"/>
      <c r="BD59" s="214"/>
      <c r="BE59" s="215"/>
      <c r="BF59" s="214"/>
      <c r="BG59" s="215"/>
      <c r="BH59" s="214"/>
      <c r="BI59" s="215"/>
      <c r="BJ59" s="214"/>
      <c r="BK59" s="215"/>
      <c r="BL59" s="214"/>
      <c r="BM59" s="215"/>
      <c r="BN59" s="214"/>
      <c r="BO59" s="215"/>
      <c r="BP59" s="214"/>
      <c r="BQ59" s="215"/>
      <c r="BR59" s="193">
        <f t="shared" si="1"/>
        <v>0</v>
      </c>
    </row>
    <row r="60" spans="1:72" s="79" customFormat="1">
      <c r="A60" s="234"/>
      <c r="B60" s="188"/>
      <c r="C60" s="211"/>
      <c r="D60" s="214"/>
      <c r="E60" s="215"/>
      <c r="F60" s="214"/>
      <c r="G60" s="215"/>
      <c r="H60" s="214"/>
      <c r="I60" s="215"/>
      <c r="J60" s="214"/>
      <c r="K60" s="215"/>
      <c r="L60" s="214"/>
      <c r="M60" s="215"/>
      <c r="N60" s="214"/>
      <c r="O60" s="215"/>
      <c r="P60" s="214"/>
      <c r="Q60" s="215"/>
      <c r="R60" s="214"/>
      <c r="S60" s="215"/>
      <c r="T60" s="214"/>
      <c r="U60" s="215"/>
      <c r="V60" s="214"/>
      <c r="W60" s="215"/>
      <c r="X60" s="214"/>
      <c r="Y60" s="215"/>
      <c r="Z60" s="214"/>
      <c r="AA60" s="215"/>
      <c r="AB60" s="214"/>
      <c r="AC60" s="215"/>
      <c r="AD60" s="214"/>
      <c r="AE60" s="215"/>
      <c r="AF60" s="214"/>
      <c r="AG60" s="215"/>
      <c r="AH60" s="214"/>
      <c r="AI60" s="215"/>
      <c r="AJ60" s="214"/>
      <c r="AK60" s="215"/>
      <c r="AL60" s="214"/>
      <c r="AM60" s="215"/>
      <c r="AN60" s="214"/>
      <c r="AO60" s="215"/>
      <c r="AP60" s="214"/>
      <c r="AQ60" s="215"/>
      <c r="AR60" s="214"/>
      <c r="AS60" s="215"/>
      <c r="AT60" s="214"/>
      <c r="AU60" s="215"/>
      <c r="AV60" s="214"/>
      <c r="AW60" s="215"/>
      <c r="AX60" s="214"/>
      <c r="AY60" s="215"/>
      <c r="AZ60" s="214"/>
      <c r="BA60" s="215"/>
      <c r="BB60" s="214"/>
      <c r="BC60" s="215"/>
      <c r="BD60" s="214"/>
      <c r="BE60" s="215"/>
      <c r="BF60" s="214"/>
      <c r="BG60" s="215"/>
      <c r="BH60" s="214"/>
      <c r="BI60" s="215"/>
      <c r="BJ60" s="214"/>
      <c r="BK60" s="215"/>
      <c r="BL60" s="214"/>
      <c r="BM60" s="215"/>
      <c r="BN60" s="214"/>
      <c r="BO60" s="215"/>
      <c r="BP60" s="214"/>
      <c r="BQ60" s="215"/>
      <c r="BR60" s="193">
        <f t="shared" si="1"/>
        <v>0</v>
      </c>
    </row>
    <row r="61" spans="1:72" s="79" customFormat="1">
      <c r="A61" s="234"/>
      <c r="B61" s="188"/>
      <c r="C61" s="186"/>
      <c r="D61" s="214"/>
      <c r="E61" s="215"/>
      <c r="F61" s="214"/>
      <c r="G61" s="215"/>
      <c r="H61" s="214"/>
      <c r="I61" s="215"/>
      <c r="J61" s="214"/>
      <c r="K61" s="215"/>
      <c r="L61" s="214"/>
      <c r="M61" s="215"/>
      <c r="N61" s="214"/>
      <c r="O61" s="215"/>
      <c r="P61" s="214"/>
      <c r="Q61" s="215"/>
      <c r="R61" s="214"/>
      <c r="S61" s="215"/>
      <c r="T61" s="214"/>
      <c r="U61" s="215"/>
      <c r="V61" s="214"/>
      <c r="W61" s="215"/>
      <c r="X61" s="214"/>
      <c r="Y61" s="215"/>
      <c r="Z61" s="214"/>
      <c r="AA61" s="215"/>
      <c r="AB61" s="214"/>
      <c r="AC61" s="215"/>
      <c r="AD61" s="214"/>
      <c r="AE61" s="215"/>
      <c r="AF61" s="214"/>
      <c r="AG61" s="215"/>
      <c r="AH61" s="214"/>
      <c r="AI61" s="215"/>
      <c r="AJ61" s="214"/>
      <c r="AK61" s="215"/>
      <c r="AL61" s="214"/>
      <c r="AM61" s="215"/>
      <c r="AN61" s="214"/>
      <c r="AO61" s="215"/>
      <c r="AP61" s="214"/>
      <c r="AQ61" s="215"/>
      <c r="AR61" s="214"/>
      <c r="AS61" s="215"/>
      <c r="AT61" s="214"/>
      <c r="AU61" s="215"/>
      <c r="AV61" s="214"/>
      <c r="AW61" s="215"/>
      <c r="AX61" s="214"/>
      <c r="AY61" s="215"/>
      <c r="AZ61" s="214"/>
      <c r="BA61" s="215"/>
      <c r="BB61" s="214"/>
      <c r="BC61" s="215"/>
      <c r="BD61" s="214"/>
      <c r="BE61" s="215"/>
      <c r="BF61" s="214"/>
      <c r="BG61" s="215"/>
      <c r="BH61" s="214"/>
      <c r="BI61" s="215"/>
      <c r="BJ61" s="214"/>
      <c r="BK61" s="215"/>
      <c r="BL61" s="214"/>
      <c r="BM61" s="215"/>
      <c r="BN61" s="214"/>
      <c r="BO61" s="215"/>
      <c r="BP61" s="214"/>
      <c r="BQ61" s="215"/>
      <c r="BR61" s="193">
        <f t="shared" si="1"/>
        <v>0</v>
      </c>
    </row>
    <row r="62" spans="1:72" s="79" customFormat="1">
      <c r="A62" s="234"/>
      <c r="B62" s="188"/>
      <c r="C62" s="211"/>
      <c r="D62" s="214"/>
      <c r="E62" s="215"/>
      <c r="F62" s="214"/>
      <c r="G62" s="215"/>
      <c r="H62" s="214"/>
      <c r="I62" s="215"/>
      <c r="J62" s="214"/>
      <c r="K62" s="215"/>
      <c r="L62" s="214"/>
      <c r="M62" s="215"/>
      <c r="N62" s="214"/>
      <c r="O62" s="215"/>
      <c r="P62" s="214"/>
      <c r="Q62" s="215"/>
      <c r="R62" s="214"/>
      <c r="S62" s="215"/>
      <c r="T62" s="214"/>
      <c r="U62" s="215"/>
      <c r="V62" s="214"/>
      <c r="W62" s="215"/>
      <c r="X62" s="214"/>
      <c r="Y62" s="215"/>
      <c r="Z62" s="214"/>
      <c r="AA62" s="215"/>
      <c r="AB62" s="214"/>
      <c r="AC62" s="215"/>
      <c r="AD62" s="214"/>
      <c r="AE62" s="215"/>
      <c r="AF62" s="214"/>
      <c r="AG62" s="215"/>
      <c r="AH62" s="214"/>
      <c r="AI62" s="215"/>
      <c r="AJ62" s="214"/>
      <c r="AK62" s="215"/>
      <c r="AL62" s="214"/>
      <c r="AM62" s="215"/>
      <c r="AN62" s="214"/>
      <c r="AO62" s="215"/>
      <c r="AP62" s="214"/>
      <c r="AQ62" s="215"/>
      <c r="AR62" s="214"/>
      <c r="AS62" s="215"/>
      <c r="AT62" s="214"/>
      <c r="AU62" s="215"/>
      <c r="AV62" s="214"/>
      <c r="AW62" s="215"/>
      <c r="AX62" s="214"/>
      <c r="AY62" s="215"/>
      <c r="AZ62" s="214"/>
      <c r="BA62" s="215"/>
      <c r="BB62" s="214"/>
      <c r="BC62" s="215"/>
      <c r="BD62" s="214"/>
      <c r="BE62" s="215"/>
      <c r="BF62" s="214"/>
      <c r="BG62" s="215"/>
      <c r="BH62" s="214"/>
      <c r="BI62" s="215"/>
      <c r="BJ62" s="214"/>
      <c r="BK62" s="215"/>
      <c r="BL62" s="214"/>
      <c r="BM62" s="215"/>
      <c r="BN62" s="214"/>
      <c r="BO62" s="215"/>
      <c r="BP62" s="214"/>
      <c r="BQ62" s="215"/>
      <c r="BR62" s="193">
        <f t="shared" si="1"/>
        <v>0</v>
      </c>
    </row>
    <row r="63" spans="1:72" s="79" customFormat="1">
      <c r="A63" s="234"/>
      <c r="B63" s="188"/>
      <c r="C63" s="211"/>
      <c r="D63" s="214"/>
      <c r="E63" s="215"/>
      <c r="F63" s="214"/>
      <c r="G63" s="215"/>
      <c r="H63" s="214"/>
      <c r="I63" s="215"/>
      <c r="J63" s="214"/>
      <c r="K63" s="215"/>
      <c r="L63" s="214"/>
      <c r="M63" s="215"/>
      <c r="N63" s="214"/>
      <c r="O63" s="215"/>
      <c r="P63" s="214"/>
      <c r="Q63" s="215"/>
      <c r="R63" s="214"/>
      <c r="S63" s="215"/>
      <c r="T63" s="214"/>
      <c r="U63" s="215"/>
      <c r="V63" s="214"/>
      <c r="W63" s="215"/>
      <c r="X63" s="214"/>
      <c r="Y63" s="215"/>
      <c r="Z63" s="214"/>
      <c r="AA63" s="215"/>
      <c r="AB63" s="214"/>
      <c r="AC63" s="215"/>
      <c r="AD63" s="214"/>
      <c r="AE63" s="215"/>
      <c r="AF63" s="214"/>
      <c r="AG63" s="215"/>
      <c r="AH63" s="214"/>
      <c r="AI63" s="215"/>
      <c r="AJ63" s="214"/>
      <c r="AK63" s="215"/>
      <c r="AL63" s="214"/>
      <c r="AM63" s="215"/>
      <c r="AN63" s="214"/>
      <c r="AO63" s="215"/>
      <c r="AP63" s="214"/>
      <c r="AQ63" s="215"/>
      <c r="AR63" s="214"/>
      <c r="AS63" s="215"/>
      <c r="AT63" s="214"/>
      <c r="AU63" s="215"/>
      <c r="AV63" s="214"/>
      <c r="AW63" s="215"/>
      <c r="AX63" s="214"/>
      <c r="AY63" s="215"/>
      <c r="AZ63" s="214"/>
      <c r="BA63" s="215"/>
      <c r="BB63" s="214"/>
      <c r="BC63" s="215"/>
      <c r="BD63" s="214"/>
      <c r="BE63" s="215"/>
      <c r="BF63" s="214"/>
      <c r="BG63" s="215"/>
      <c r="BH63" s="214"/>
      <c r="BI63" s="215"/>
      <c r="BJ63" s="214"/>
      <c r="BK63" s="215"/>
      <c r="BL63" s="214"/>
      <c r="BM63" s="215"/>
      <c r="BN63" s="214"/>
      <c r="BO63" s="215"/>
      <c r="BP63" s="214"/>
      <c r="BQ63" s="215"/>
      <c r="BR63" s="193">
        <f t="shared" si="1"/>
        <v>0</v>
      </c>
      <c r="BS63" s="194"/>
      <c r="BT63" s="194"/>
    </row>
    <row r="64" spans="1:72" s="79" customFormat="1">
      <c r="A64" s="234"/>
      <c r="B64" s="188"/>
      <c r="C64" s="211"/>
      <c r="D64" s="214"/>
      <c r="E64" s="215"/>
      <c r="F64" s="214"/>
      <c r="G64" s="215"/>
      <c r="H64" s="214"/>
      <c r="I64" s="215"/>
      <c r="J64" s="214"/>
      <c r="K64" s="215"/>
      <c r="L64" s="214"/>
      <c r="M64" s="215"/>
      <c r="N64" s="214"/>
      <c r="O64" s="215"/>
      <c r="P64" s="214"/>
      <c r="Q64" s="215"/>
      <c r="R64" s="214"/>
      <c r="S64" s="215"/>
      <c r="T64" s="214"/>
      <c r="U64" s="215"/>
      <c r="V64" s="214"/>
      <c r="W64" s="215"/>
      <c r="X64" s="214"/>
      <c r="Y64" s="215"/>
      <c r="Z64" s="214"/>
      <c r="AA64" s="215"/>
      <c r="AB64" s="214"/>
      <c r="AC64" s="215"/>
      <c r="AD64" s="214"/>
      <c r="AE64" s="215"/>
      <c r="AF64" s="214"/>
      <c r="AG64" s="215"/>
      <c r="AH64" s="214"/>
      <c r="AI64" s="215"/>
      <c r="AJ64" s="214"/>
      <c r="AK64" s="215"/>
      <c r="AL64" s="214"/>
      <c r="AM64" s="215"/>
      <c r="AN64" s="214"/>
      <c r="AO64" s="215"/>
      <c r="AP64" s="214"/>
      <c r="AQ64" s="215"/>
      <c r="AR64" s="214"/>
      <c r="AS64" s="215"/>
      <c r="AT64" s="214"/>
      <c r="AU64" s="215"/>
      <c r="AV64" s="214"/>
      <c r="AW64" s="215"/>
      <c r="AX64" s="214"/>
      <c r="AY64" s="215"/>
      <c r="AZ64" s="214"/>
      <c r="BA64" s="215"/>
      <c r="BB64" s="214"/>
      <c r="BC64" s="215"/>
      <c r="BD64" s="214"/>
      <c r="BE64" s="215"/>
      <c r="BF64" s="214"/>
      <c r="BG64" s="215"/>
      <c r="BH64" s="214"/>
      <c r="BI64" s="215"/>
      <c r="BJ64" s="214"/>
      <c r="BK64" s="215"/>
      <c r="BL64" s="214"/>
      <c r="BM64" s="215"/>
      <c r="BN64" s="214"/>
      <c r="BO64" s="215"/>
      <c r="BP64" s="214"/>
      <c r="BQ64" s="215"/>
      <c r="BR64" s="193">
        <f t="shared" si="1"/>
        <v>0</v>
      </c>
    </row>
    <row r="65" spans="1:71" s="79" customFormat="1">
      <c r="A65" s="234"/>
      <c r="B65" s="188"/>
      <c r="C65" s="211"/>
      <c r="D65" s="214"/>
      <c r="E65" s="215"/>
      <c r="F65" s="214"/>
      <c r="G65" s="215"/>
      <c r="H65" s="214"/>
      <c r="I65" s="215"/>
      <c r="J65" s="214"/>
      <c r="K65" s="215"/>
      <c r="L65" s="214"/>
      <c r="M65" s="215"/>
      <c r="N65" s="214"/>
      <c r="O65" s="215"/>
      <c r="P65" s="214"/>
      <c r="Q65" s="215"/>
      <c r="R65" s="214"/>
      <c r="S65" s="215"/>
      <c r="T65" s="214"/>
      <c r="U65" s="215"/>
      <c r="V65" s="214"/>
      <c r="W65" s="215"/>
      <c r="X65" s="214"/>
      <c r="Y65" s="215"/>
      <c r="Z65" s="214"/>
      <c r="AA65" s="215"/>
      <c r="AB65" s="214"/>
      <c r="AC65" s="215"/>
      <c r="AD65" s="214"/>
      <c r="AE65" s="215"/>
      <c r="AF65" s="214"/>
      <c r="AG65" s="215"/>
      <c r="AH65" s="214"/>
      <c r="AI65" s="215"/>
      <c r="AJ65" s="214"/>
      <c r="AK65" s="215"/>
      <c r="AL65" s="214"/>
      <c r="AM65" s="215"/>
      <c r="AN65" s="214"/>
      <c r="AO65" s="215"/>
      <c r="AP65" s="214"/>
      <c r="AQ65" s="215"/>
      <c r="AR65" s="214"/>
      <c r="AS65" s="215"/>
      <c r="AT65" s="214"/>
      <c r="AU65" s="215"/>
      <c r="AV65" s="214"/>
      <c r="AW65" s="215"/>
      <c r="AX65" s="214"/>
      <c r="AY65" s="215"/>
      <c r="AZ65" s="214"/>
      <c r="BA65" s="215"/>
      <c r="BB65" s="214"/>
      <c r="BC65" s="215"/>
      <c r="BD65" s="214"/>
      <c r="BE65" s="215"/>
      <c r="BF65" s="214"/>
      <c r="BG65" s="215"/>
      <c r="BH65" s="214"/>
      <c r="BI65" s="215"/>
      <c r="BJ65" s="214"/>
      <c r="BK65" s="215"/>
      <c r="BL65" s="214"/>
      <c r="BM65" s="215"/>
      <c r="BN65" s="214"/>
      <c r="BO65" s="215"/>
      <c r="BP65" s="214"/>
      <c r="BQ65" s="215"/>
      <c r="BR65" s="193">
        <f t="shared" si="1"/>
        <v>0</v>
      </c>
    </row>
    <row r="66" spans="1:71" s="79" customFormat="1">
      <c r="A66" s="234"/>
      <c r="B66" s="188"/>
      <c r="C66" s="211"/>
      <c r="D66" s="214"/>
      <c r="E66" s="215"/>
      <c r="F66" s="214"/>
      <c r="G66" s="215"/>
      <c r="H66" s="214"/>
      <c r="I66" s="215"/>
      <c r="J66" s="214"/>
      <c r="K66" s="215"/>
      <c r="L66" s="214"/>
      <c r="M66" s="215"/>
      <c r="N66" s="214"/>
      <c r="O66" s="215"/>
      <c r="P66" s="214"/>
      <c r="Q66" s="215"/>
      <c r="R66" s="214"/>
      <c r="S66" s="215"/>
      <c r="T66" s="214"/>
      <c r="U66" s="215"/>
      <c r="V66" s="214"/>
      <c r="W66" s="215"/>
      <c r="X66" s="214"/>
      <c r="Y66" s="215"/>
      <c r="Z66" s="214"/>
      <c r="AA66" s="215"/>
      <c r="AB66" s="214"/>
      <c r="AC66" s="215"/>
      <c r="AD66" s="214"/>
      <c r="AE66" s="215"/>
      <c r="AF66" s="214"/>
      <c r="AG66" s="215"/>
      <c r="AH66" s="214"/>
      <c r="AI66" s="215"/>
      <c r="AJ66" s="214"/>
      <c r="AK66" s="215"/>
      <c r="AL66" s="214"/>
      <c r="AM66" s="215"/>
      <c r="AN66" s="214"/>
      <c r="AO66" s="215"/>
      <c r="AP66" s="214"/>
      <c r="AQ66" s="215"/>
      <c r="AR66" s="214"/>
      <c r="AS66" s="215"/>
      <c r="AT66" s="214"/>
      <c r="AU66" s="215"/>
      <c r="AV66" s="214"/>
      <c r="AW66" s="215"/>
      <c r="AX66" s="214"/>
      <c r="AY66" s="215"/>
      <c r="AZ66" s="214"/>
      <c r="BA66" s="215"/>
      <c r="BB66" s="214"/>
      <c r="BC66" s="215"/>
      <c r="BD66" s="214"/>
      <c r="BE66" s="215"/>
      <c r="BF66" s="214"/>
      <c r="BG66" s="215"/>
      <c r="BH66" s="214"/>
      <c r="BI66" s="215"/>
      <c r="BJ66" s="214"/>
      <c r="BK66" s="215"/>
      <c r="BL66" s="214"/>
      <c r="BM66" s="215"/>
      <c r="BN66" s="214"/>
      <c r="BO66" s="215"/>
      <c r="BP66" s="214"/>
      <c r="BQ66" s="215"/>
      <c r="BR66" s="193">
        <f t="shared" si="1"/>
        <v>0</v>
      </c>
    </row>
    <row r="67" spans="1:71" s="79" customFormat="1">
      <c r="A67" s="234"/>
      <c r="B67" s="188"/>
      <c r="C67" s="123"/>
      <c r="D67" s="214"/>
      <c r="E67" s="215"/>
      <c r="F67" s="214"/>
      <c r="G67" s="215"/>
      <c r="H67" s="214"/>
      <c r="I67" s="215"/>
      <c r="J67" s="214"/>
      <c r="K67" s="215"/>
      <c r="L67" s="214"/>
      <c r="M67" s="215"/>
      <c r="N67" s="214"/>
      <c r="O67" s="215"/>
      <c r="P67" s="214"/>
      <c r="Q67" s="215"/>
      <c r="R67" s="214"/>
      <c r="S67" s="215"/>
      <c r="T67" s="214"/>
      <c r="U67" s="215"/>
      <c r="V67" s="214"/>
      <c r="W67" s="215"/>
      <c r="X67" s="214"/>
      <c r="Y67" s="215"/>
      <c r="Z67" s="214"/>
      <c r="AA67" s="215"/>
      <c r="AB67" s="214"/>
      <c r="AC67" s="215"/>
      <c r="AD67" s="214"/>
      <c r="AE67" s="215"/>
      <c r="AF67" s="214"/>
      <c r="AG67" s="215"/>
      <c r="AH67" s="214"/>
      <c r="AI67" s="215"/>
      <c r="AJ67" s="214"/>
      <c r="AK67" s="215"/>
      <c r="AL67" s="214"/>
      <c r="AM67" s="215"/>
      <c r="AN67" s="214"/>
      <c r="AO67" s="215"/>
      <c r="AP67" s="214"/>
      <c r="AQ67" s="215"/>
      <c r="AR67" s="214"/>
      <c r="AS67" s="215"/>
      <c r="AT67" s="214"/>
      <c r="AU67" s="215"/>
      <c r="AV67" s="214"/>
      <c r="AW67" s="215"/>
      <c r="AX67" s="214"/>
      <c r="AY67" s="215"/>
      <c r="AZ67" s="214"/>
      <c r="BA67" s="215"/>
      <c r="BB67" s="214"/>
      <c r="BC67" s="215"/>
      <c r="BD67" s="214"/>
      <c r="BE67" s="215"/>
      <c r="BF67" s="214"/>
      <c r="BG67" s="215"/>
      <c r="BH67" s="214"/>
      <c r="BI67" s="215"/>
      <c r="BJ67" s="214"/>
      <c r="BK67" s="215"/>
      <c r="BL67" s="214"/>
      <c r="BM67" s="215"/>
      <c r="BN67" s="214"/>
      <c r="BO67" s="215"/>
      <c r="BP67" s="214"/>
      <c r="BQ67" s="215"/>
      <c r="BR67" s="193">
        <f t="shared" si="1"/>
        <v>0</v>
      </c>
    </row>
    <row r="68" spans="1:71" s="79" customFormat="1">
      <c r="A68" s="234"/>
      <c r="B68" s="188"/>
      <c r="C68" s="123"/>
      <c r="D68" s="214"/>
      <c r="E68" s="215"/>
      <c r="F68" s="214"/>
      <c r="G68" s="215"/>
      <c r="H68" s="214"/>
      <c r="I68" s="215"/>
      <c r="J68" s="214"/>
      <c r="K68" s="215"/>
      <c r="L68" s="214"/>
      <c r="M68" s="215"/>
      <c r="N68" s="214"/>
      <c r="O68" s="215"/>
      <c r="P68" s="214"/>
      <c r="Q68" s="215"/>
      <c r="R68" s="214"/>
      <c r="S68" s="215"/>
      <c r="T68" s="214"/>
      <c r="U68" s="215"/>
      <c r="V68" s="214"/>
      <c r="W68" s="215"/>
      <c r="X68" s="214"/>
      <c r="Y68" s="215"/>
      <c r="Z68" s="214"/>
      <c r="AA68" s="215"/>
      <c r="AB68" s="214"/>
      <c r="AC68" s="215"/>
      <c r="AD68" s="214"/>
      <c r="AE68" s="215"/>
      <c r="AF68" s="214"/>
      <c r="AG68" s="215"/>
      <c r="AH68" s="214"/>
      <c r="AI68" s="215"/>
      <c r="AJ68" s="214"/>
      <c r="AK68" s="215"/>
      <c r="AL68" s="214"/>
      <c r="AM68" s="215"/>
      <c r="AN68" s="214"/>
      <c r="AO68" s="215"/>
      <c r="AP68" s="214"/>
      <c r="AQ68" s="215"/>
      <c r="AR68" s="214"/>
      <c r="AS68" s="215"/>
      <c r="AT68" s="214"/>
      <c r="AU68" s="215"/>
      <c r="AV68" s="214"/>
      <c r="AW68" s="215"/>
      <c r="AX68" s="214"/>
      <c r="AY68" s="215"/>
      <c r="AZ68" s="214"/>
      <c r="BA68" s="215"/>
      <c r="BB68" s="214"/>
      <c r="BC68" s="215"/>
      <c r="BD68" s="214"/>
      <c r="BE68" s="215"/>
      <c r="BF68" s="214"/>
      <c r="BG68" s="215"/>
      <c r="BH68" s="214"/>
      <c r="BI68" s="215"/>
      <c r="BJ68" s="214"/>
      <c r="BK68" s="215"/>
      <c r="BL68" s="214"/>
      <c r="BM68" s="215"/>
      <c r="BN68" s="214"/>
      <c r="BO68" s="215"/>
      <c r="BP68" s="214"/>
      <c r="BQ68" s="215"/>
      <c r="BR68" s="193">
        <f t="shared" si="1"/>
        <v>0</v>
      </c>
    </row>
    <row r="69" spans="1:71" s="79" customFormat="1">
      <c r="A69" s="234"/>
      <c r="B69" s="188"/>
      <c r="C69" s="211"/>
      <c r="D69" s="214"/>
      <c r="E69" s="215"/>
      <c r="F69" s="214"/>
      <c r="G69" s="215"/>
      <c r="H69" s="214"/>
      <c r="I69" s="215"/>
      <c r="J69" s="214"/>
      <c r="K69" s="215"/>
      <c r="L69" s="214"/>
      <c r="M69" s="215"/>
      <c r="N69" s="214"/>
      <c r="O69" s="215"/>
      <c r="P69" s="214"/>
      <c r="Q69" s="215"/>
      <c r="R69" s="214"/>
      <c r="S69" s="215"/>
      <c r="T69" s="214"/>
      <c r="U69" s="215"/>
      <c r="V69" s="214"/>
      <c r="W69" s="215"/>
      <c r="X69" s="214"/>
      <c r="Y69" s="215"/>
      <c r="Z69" s="214"/>
      <c r="AA69" s="215"/>
      <c r="AB69" s="214"/>
      <c r="AC69" s="215"/>
      <c r="AD69" s="214"/>
      <c r="AE69" s="215"/>
      <c r="AF69" s="214"/>
      <c r="AG69" s="215"/>
      <c r="AH69" s="214"/>
      <c r="AI69" s="215"/>
      <c r="AJ69" s="214"/>
      <c r="AK69" s="215"/>
      <c r="AL69" s="214"/>
      <c r="AM69" s="215"/>
      <c r="AN69" s="214"/>
      <c r="AO69" s="215"/>
      <c r="AP69" s="214"/>
      <c r="AQ69" s="215"/>
      <c r="AR69" s="214"/>
      <c r="AS69" s="215"/>
      <c r="AT69" s="214"/>
      <c r="AU69" s="215"/>
      <c r="AV69" s="214"/>
      <c r="AW69" s="215"/>
      <c r="AX69" s="214"/>
      <c r="AY69" s="215"/>
      <c r="AZ69" s="214"/>
      <c r="BA69" s="215"/>
      <c r="BB69" s="214"/>
      <c r="BC69" s="215"/>
      <c r="BD69" s="214"/>
      <c r="BE69" s="215"/>
      <c r="BF69" s="214"/>
      <c r="BG69" s="215"/>
      <c r="BH69" s="214"/>
      <c r="BI69" s="215"/>
      <c r="BJ69" s="214"/>
      <c r="BK69" s="215"/>
      <c r="BL69" s="214"/>
      <c r="BM69" s="215"/>
      <c r="BN69" s="214"/>
      <c r="BO69" s="215"/>
      <c r="BP69" s="214"/>
      <c r="BQ69" s="215"/>
      <c r="BR69" s="193">
        <f t="shared" si="1"/>
        <v>0</v>
      </c>
    </row>
    <row r="70" spans="1:71" s="79" customFormat="1">
      <c r="A70" s="234"/>
      <c r="B70" s="188"/>
      <c r="C70" s="211"/>
      <c r="D70" s="214"/>
      <c r="E70" s="215"/>
      <c r="F70" s="214"/>
      <c r="G70" s="215"/>
      <c r="H70" s="214"/>
      <c r="I70" s="215"/>
      <c r="J70" s="214"/>
      <c r="K70" s="215"/>
      <c r="L70" s="214"/>
      <c r="M70" s="215"/>
      <c r="N70" s="214"/>
      <c r="O70" s="215"/>
      <c r="P70" s="214"/>
      <c r="Q70" s="215"/>
      <c r="R70" s="214"/>
      <c r="S70" s="215"/>
      <c r="T70" s="214"/>
      <c r="U70" s="215"/>
      <c r="V70" s="214"/>
      <c r="W70" s="215"/>
      <c r="X70" s="214"/>
      <c r="Y70" s="215"/>
      <c r="Z70" s="214"/>
      <c r="AA70" s="215"/>
      <c r="AB70" s="214"/>
      <c r="AC70" s="215"/>
      <c r="AD70" s="214"/>
      <c r="AE70" s="215"/>
      <c r="AF70" s="214"/>
      <c r="AG70" s="215"/>
      <c r="AH70" s="214"/>
      <c r="AI70" s="215"/>
      <c r="AJ70" s="214"/>
      <c r="AK70" s="215"/>
      <c r="AL70" s="214"/>
      <c r="AM70" s="215"/>
      <c r="AN70" s="214"/>
      <c r="AO70" s="215"/>
      <c r="AP70" s="214"/>
      <c r="AQ70" s="215"/>
      <c r="AR70" s="214"/>
      <c r="AS70" s="215"/>
      <c r="AT70" s="214"/>
      <c r="AU70" s="215"/>
      <c r="AV70" s="214"/>
      <c r="AW70" s="215"/>
      <c r="AX70" s="214"/>
      <c r="AY70" s="215"/>
      <c r="AZ70" s="214"/>
      <c r="BA70" s="215"/>
      <c r="BB70" s="214"/>
      <c r="BC70" s="215"/>
      <c r="BD70" s="214"/>
      <c r="BE70" s="215"/>
      <c r="BF70" s="214"/>
      <c r="BG70" s="215"/>
      <c r="BH70" s="214"/>
      <c r="BI70" s="215"/>
      <c r="BJ70" s="214"/>
      <c r="BK70" s="215"/>
      <c r="BL70" s="214"/>
      <c r="BM70" s="215"/>
      <c r="BN70" s="214"/>
      <c r="BO70" s="215"/>
      <c r="BP70" s="214"/>
      <c r="BQ70" s="215"/>
      <c r="BR70" s="193">
        <f t="shared" si="1"/>
        <v>0</v>
      </c>
    </row>
    <row r="71" spans="1:71" s="79" customFormat="1">
      <c r="A71" s="234"/>
      <c r="B71" s="188"/>
      <c r="C71" s="123"/>
      <c r="D71" s="214"/>
      <c r="E71" s="215"/>
      <c r="F71" s="214"/>
      <c r="G71" s="215"/>
      <c r="H71" s="214"/>
      <c r="I71" s="215"/>
      <c r="J71" s="214"/>
      <c r="K71" s="215"/>
      <c r="L71" s="214"/>
      <c r="M71" s="215"/>
      <c r="N71" s="214"/>
      <c r="O71" s="215"/>
      <c r="P71" s="214"/>
      <c r="Q71" s="215"/>
      <c r="R71" s="214"/>
      <c r="S71" s="215"/>
      <c r="T71" s="214"/>
      <c r="U71" s="215"/>
      <c r="V71" s="214"/>
      <c r="W71" s="215"/>
      <c r="X71" s="214"/>
      <c r="Y71" s="215"/>
      <c r="Z71" s="214"/>
      <c r="AA71" s="215"/>
      <c r="AB71" s="214"/>
      <c r="AC71" s="215"/>
      <c r="AD71" s="214"/>
      <c r="AE71" s="215"/>
      <c r="AF71" s="214"/>
      <c r="AG71" s="215"/>
      <c r="AH71" s="214"/>
      <c r="AI71" s="215"/>
      <c r="AJ71" s="214"/>
      <c r="AK71" s="215"/>
      <c r="AL71" s="214"/>
      <c r="AM71" s="215"/>
      <c r="AN71" s="214"/>
      <c r="AO71" s="215"/>
      <c r="AP71" s="214"/>
      <c r="AQ71" s="215"/>
      <c r="AR71" s="214"/>
      <c r="AS71" s="215"/>
      <c r="AT71" s="214"/>
      <c r="AU71" s="215"/>
      <c r="AV71" s="214"/>
      <c r="AW71" s="215"/>
      <c r="AX71" s="214"/>
      <c r="AY71" s="215"/>
      <c r="AZ71" s="214"/>
      <c r="BA71" s="215"/>
      <c r="BB71" s="214"/>
      <c r="BC71" s="215"/>
      <c r="BD71" s="214"/>
      <c r="BE71" s="215"/>
      <c r="BF71" s="214"/>
      <c r="BG71" s="215"/>
      <c r="BH71" s="214"/>
      <c r="BI71" s="215"/>
      <c r="BJ71" s="214"/>
      <c r="BK71" s="215"/>
      <c r="BL71" s="214"/>
      <c r="BM71" s="215"/>
      <c r="BN71" s="214"/>
      <c r="BO71" s="215"/>
      <c r="BP71" s="214"/>
      <c r="BQ71" s="215"/>
      <c r="BR71" s="193">
        <f t="shared" si="1"/>
        <v>0</v>
      </c>
    </row>
    <row r="72" spans="1:71" s="79" customFormat="1">
      <c r="A72" s="234"/>
      <c r="B72" s="188"/>
      <c r="C72" s="186"/>
      <c r="D72" s="214"/>
      <c r="E72" s="215"/>
      <c r="F72" s="214"/>
      <c r="G72" s="215"/>
      <c r="H72" s="214"/>
      <c r="I72" s="215"/>
      <c r="J72" s="214"/>
      <c r="K72" s="215"/>
      <c r="L72" s="214"/>
      <c r="M72" s="215"/>
      <c r="N72" s="214"/>
      <c r="O72" s="215"/>
      <c r="P72" s="214"/>
      <c r="Q72" s="215"/>
      <c r="R72" s="214"/>
      <c r="S72" s="215"/>
      <c r="T72" s="214"/>
      <c r="U72" s="215"/>
      <c r="V72" s="214"/>
      <c r="W72" s="215"/>
      <c r="X72" s="214"/>
      <c r="Y72" s="215"/>
      <c r="Z72" s="214"/>
      <c r="AA72" s="215"/>
      <c r="AB72" s="214"/>
      <c r="AC72" s="215"/>
      <c r="AD72" s="214"/>
      <c r="AE72" s="215"/>
      <c r="AF72" s="214"/>
      <c r="AG72" s="215"/>
      <c r="AH72" s="214"/>
      <c r="AI72" s="215"/>
      <c r="AJ72" s="214"/>
      <c r="AK72" s="215"/>
      <c r="AL72" s="214"/>
      <c r="AM72" s="215"/>
      <c r="AN72" s="214"/>
      <c r="AO72" s="215"/>
      <c r="AP72" s="214"/>
      <c r="AQ72" s="215"/>
      <c r="AR72" s="214"/>
      <c r="AS72" s="215"/>
      <c r="AT72" s="214"/>
      <c r="AU72" s="215"/>
      <c r="AV72" s="214"/>
      <c r="AW72" s="215"/>
      <c r="AX72" s="214"/>
      <c r="AY72" s="215"/>
      <c r="AZ72" s="214"/>
      <c r="BA72" s="215"/>
      <c r="BB72" s="214"/>
      <c r="BC72" s="215"/>
      <c r="BD72" s="214"/>
      <c r="BE72" s="215"/>
      <c r="BF72" s="214"/>
      <c r="BG72" s="215"/>
      <c r="BH72" s="214"/>
      <c r="BI72" s="215"/>
      <c r="BJ72" s="214"/>
      <c r="BK72" s="215"/>
      <c r="BL72" s="214"/>
      <c r="BM72" s="215"/>
      <c r="BN72" s="214"/>
      <c r="BO72" s="215"/>
      <c r="BP72" s="214"/>
      <c r="BQ72" s="215"/>
      <c r="BR72" s="193">
        <f t="shared" ref="BR72:BR77" si="2">D72-E72+F72-G72+H72-I72+J72-K72+L72-M72+N72-O72+P72-Q72+R72-S72+T72-U72+V72-W72+X72-Y72+Z72-AA72+AB72-AC72+AD72-AE72+AF72-AG72+AH72-AI72+AJ72-AK72+AL72-AM72+AN72-AO72+AP72-AQ72+AR72-AS72+AT72-AU72+AV72-AW72+AX72-AY72+AZ72-BA72+BB72-BC72+BD72-BE72+BF72-BG72+BH72-BI72+BJ72-BK72+BL72-BM72+BN72-BO72+BP72-BQ72</f>
        <v>0</v>
      </c>
    </row>
    <row r="73" spans="1:71" s="79" customFormat="1">
      <c r="A73" s="234"/>
      <c r="B73" s="188"/>
      <c r="C73" s="211"/>
      <c r="D73" s="214"/>
      <c r="E73" s="215"/>
      <c r="F73" s="214"/>
      <c r="G73" s="215"/>
      <c r="H73" s="214"/>
      <c r="I73" s="215"/>
      <c r="J73" s="214"/>
      <c r="K73" s="215"/>
      <c r="L73" s="214"/>
      <c r="M73" s="215"/>
      <c r="N73" s="214"/>
      <c r="O73" s="215"/>
      <c r="P73" s="214"/>
      <c r="Q73" s="215"/>
      <c r="R73" s="214"/>
      <c r="S73" s="215"/>
      <c r="T73" s="214"/>
      <c r="U73" s="215"/>
      <c r="V73" s="214"/>
      <c r="W73" s="215"/>
      <c r="X73" s="214"/>
      <c r="Y73" s="215"/>
      <c r="Z73" s="214"/>
      <c r="AA73" s="215"/>
      <c r="AB73" s="214"/>
      <c r="AC73" s="215"/>
      <c r="AD73" s="214"/>
      <c r="AE73" s="215"/>
      <c r="AF73" s="214"/>
      <c r="AG73" s="215"/>
      <c r="AH73" s="214"/>
      <c r="AI73" s="215"/>
      <c r="AJ73" s="214"/>
      <c r="AK73" s="215"/>
      <c r="AL73" s="214"/>
      <c r="AM73" s="215"/>
      <c r="AN73" s="214"/>
      <c r="AO73" s="215"/>
      <c r="AP73" s="214"/>
      <c r="AQ73" s="215"/>
      <c r="AR73" s="214"/>
      <c r="AS73" s="215"/>
      <c r="AT73" s="214"/>
      <c r="AU73" s="215"/>
      <c r="AV73" s="214"/>
      <c r="AW73" s="215"/>
      <c r="AX73" s="214"/>
      <c r="AY73" s="215"/>
      <c r="AZ73" s="214"/>
      <c r="BA73" s="215"/>
      <c r="BB73" s="214"/>
      <c r="BC73" s="215"/>
      <c r="BD73" s="214"/>
      <c r="BE73" s="215"/>
      <c r="BF73" s="214"/>
      <c r="BG73" s="215"/>
      <c r="BH73" s="214"/>
      <c r="BI73" s="215"/>
      <c r="BJ73" s="214"/>
      <c r="BK73" s="215"/>
      <c r="BL73" s="214"/>
      <c r="BM73" s="215"/>
      <c r="BN73" s="214"/>
      <c r="BO73" s="215"/>
      <c r="BP73" s="214"/>
      <c r="BQ73" s="215"/>
      <c r="BR73" s="193">
        <f t="shared" si="2"/>
        <v>0</v>
      </c>
    </row>
    <row r="74" spans="1:71" s="79" customFormat="1">
      <c r="A74" s="234"/>
      <c r="B74" s="188"/>
      <c r="C74" s="211"/>
      <c r="D74" s="214"/>
      <c r="E74" s="215"/>
      <c r="F74" s="214"/>
      <c r="G74" s="215"/>
      <c r="H74" s="214"/>
      <c r="I74" s="215"/>
      <c r="J74" s="214"/>
      <c r="K74" s="215"/>
      <c r="L74" s="214"/>
      <c r="M74" s="215"/>
      <c r="N74" s="214"/>
      <c r="O74" s="215"/>
      <c r="P74" s="214"/>
      <c r="Q74" s="215"/>
      <c r="R74" s="214"/>
      <c r="S74" s="215"/>
      <c r="T74" s="214"/>
      <c r="U74" s="215"/>
      <c r="V74" s="214"/>
      <c r="W74" s="215"/>
      <c r="X74" s="214"/>
      <c r="Y74" s="215"/>
      <c r="Z74" s="214"/>
      <c r="AA74" s="215"/>
      <c r="AB74" s="214"/>
      <c r="AC74" s="215"/>
      <c r="AD74" s="214"/>
      <c r="AE74" s="215"/>
      <c r="AF74" s="214"/>
      <c r="AG74" s="215"/>
      <c r="AH74" s="214"/>
      <c r="AI74" s="215"/>
      <c r="AJ74" s="214"/>
      <c r="AK74" s="215"/>
      <c r="AL74" s="214"/>
      <c r="AM74" s="215"/>
      <c r="AN74" s="214"/>
      <c r="AO74" s="215"/>
      <c r="AP74" s="214"/>
      <c r="AQ74" s="215"/>
      <c r="AR74" s="214"/>
      <c r="AS74" s="215"/>
      <c r="AT74" s="214"/>
      <c r="AU74" s="215"/>
      <c r="AV74" s="214"/>
      <c r="AW74" s="215"/>
      <c r="AX74" s="214"/>
      <c r="AY74" s="215"/>
      <c r="AZ74" s="214"/>
      <c r="BA74" s="215"/>
      <c r="BB74" s="214"/>
      <c r="BC74" s="215"/>
      <c r="BD74" s="214"/>
      <c r="BE74" s="215"/>
      <c r="BF74" s="214"/>
      <c r="BG74" s="215"/>
      <c r="BH74" s="214"/>
      <c r="BI74" s="215"/>
      <c r="BJ74" s="214"/>
      <c r="BK74" s="215"/>
      <c r="BL74" s="214"/>
      <c r="BM74" s="215"/>
      <c r="BN74" s="214"/>
      <c r="BO74" s="215"/>
      <c r="BP74" s="214"/>
      <c r="BQ74" s="215"/>
      <c r="BR74" s="193">
        <f t="shared" si="2"/>
        <v>0</v>
      </c>
    </row>
    <row r="75" spans="1:71" s="79" customFormat="1">
      <c r="A75" s="234"/>
      <c r="B75" s="188"/>
      <c r="C75" s="211"/>
      <c r="D75" s="214"/>
      <c r="E75" s="215"/>
      <c r="F75" s="214"/>
      <c r="G75" s="215"/>
      <c r="H75" s="214"/>
      <c r="I75" s="215"/>
      <c r="J75" s="214"/>
      <c r="K75" s="215"/>
      <c r="L75" s="214"/>
      <c r="M75" s="215"/>
      <c r="N75" s="214"/>
      <c r="O75" s="215"/>
      <c r="P75" s="214"/>
      <c r="Q75" s="215"/>
      <c r="R75" s="214"/>
      <c r="S75" s="215"/>
      <c r="T75" s="214"/>
      <c r="U75" s="215"/>
      <c r="V75" s="214"/>
      <c r="W75" s="215"/>
      <c r="X75" s="214"/>
      <c r="Y75" s="215"/>
      <c r="Z75" s="214"/>
      <c r="AA75" s="215"/>
      <c r="AB75" s="214"/>
      <c r="AC75" s="215"/>
      <c r="AD75" s="214"/>
      <c r="AE75" s="215"/>
      <c r="AF75" s="214"/>
      <c r="AG75" s="215"/>
      <c r="AH75" s="214"/>
      <c r="AI75" s="215"/>
      <c r="AJ75" s="214"/>
      <c r="AK75" s="215"/>
      <c r="AL75" s="214"/>
      <c r="AM75" s="215"/>
      <c r="AN75" s="214"/>
      <c r="AO75" s="215"/>
      <c r="AP75" s="214"/>
      <c r="AQ75" s="215"/>
      <c r="AR75" s="214"/>
      <c r="AS75" s="215"/>
      <c r="AT75" s="214"/>
      <c r="AU75" s="215"/>
      <c r="AV75" s="214"/>
      <c r="AW75" s="215"/>
      <c r="AX75" s="214"/>
      <c r="AY75" s="215"/>
      <c r="AZ75" s="214"/>
      <c r="BA75" s="215"/>
      <c r="BB75" s="214"/>
      <c r="BC75" s="215"/>
      <c r="BD75" s="214"/>
      <c r="BE75" s="215"/>
      <c r="BF75" s="214"/>
      <c r="BG75" s="215"/>
      <c r="BH75" s="214"/>
      <c r="BI75" s="215"/>
      <c r="BJ75" s="214"/>
      <c r="BK75" s="215"/>
      <c r="BL75" s="214"/>
      <c r="BM75" s="215"/>
      <c r="BN75" s="214"/>
      <c r="BO75" s="215"/>
      <c r="BP75" s="214"/>
      <c r="BQ75" s="215"/>
      <c r="BR75" s="193">
        <f t="shared" si="2"/>
        <v>0</v>
      </c>
    </row>
    <row r="76" spans="1:71" s="202" customFormat="1">
      <c r="A76" s="235"/>
      <c r="B76" s="207" t="s">
        <v>41</v>
      </c>
      <c r="C76" s="207"/>
      <c r="D76" s="216">
        <f>SUM(D8:D75)</f>
        <v>0</v>
      </c>
      <c r="E76" s="217"/>
      <c r="F76" s="216">
        <f>SUM(F8:F75)</f>
        <v>133440.19999999995</v>
      </c>
      <c r="G76" s="217"/>
      <c r="H76" s="216">
        <f>SUM(H8:H75)</f>
        <v>5000</v>
      </c>
      <c r="I76" s="217"/>
      <c r="J76" s="216">
        <f>SUM(J8:J75)</f>
        <v>0</v>
      </c>
      <c r="K76" s="217"/>
      <c r="L76" s="216">
        <f>SUM(L8:L75)</f>
        <v>6500</v>
      </c>
      <c r="M76" s="217"/>
      <c r="N76" s="216">
        <f>SUM(N8:N75)</f>
        <v>7658.32</v>
      </c>
      <c r="O76" s="217"/>
      <c r="P76" s="216">
        <f>SUM(P8:P75)</f>
        <v>0</v>
      </c>
      <c r="Q76" s="217"/>
      <c r="R76" s="216">
        <f>SUM(R8:R75)</f>
        <v>2822</v>
      </c>
      <c r="S76" s="217"/>
      <c r="T76" s="216">
        <f>SUM(T8:T75)</f>
        <v>2688.3</v>
      </c>
      <c r="U76" s="217"/>
      <c r="V76" s="216">
        <f>SUM(V8:V75)</f>
        <v>2500</v>
      </c>
      <c r="W76" s="217"/>
      <c r="X76" s="216">
        <f>SUM(X8:X75)</f>
        <v>235</v>
      </c>
      <c r="Y76" s="217"/>
      <c r="Z76" s="216">
        <f>SUM(Z8:Z75)</f>
        <v>0</v>
      </c>
      <c r="AA76" s="217"/>
      <c r="AB76" s="216">
        <f>SUM(AB8:AB75)</f>
        <v>8783.01</v>
      </c>
      <c r="AC76" s="217"/>
      <c r="AD76" s="216">
        <f>SUM(AD8:AD75)</f>
        <v>12504</v>
      </c>
      <c r="AE76" s="217"/>
      <c r="AF76" s="216">
        <f>SUM(AF8:AF75)</f>
        <v>0</v>
      </c>
      <c r="AG76" s="217"/>
      <c r="AH76" s="216">
        <f>SUM(AH8:AH75)</f>
        <v>958858.11</v>
      </c>
      <c r="AI76" s="217"/>
      <c r="AJ76" s="216">
        <f>SUM(AJ8:AJ75)</f>
        <v>0</v>
      </c>
      <c r="AK76" s="217"/>
      <c r="AL76" s="216">
        <f>SUM(AL8:AL75)</f>
        <v>0</v>
      </c>
      <c r="AM76" s="217"/>
      <c r="AN76" s="216">
        <f>SUM(AN8:AN75)</f>
        <v>0</v>
      </c>
      <c r="AO76" s="217"/>
      <c r="AP76" s="216">
        <f>SUM(AP8:AP75)</f>
        <v>0</v>
      </c>
      <c r="AQ76" s="217"/>
      <c r="AR76" s="216">
        <f>SUM(AR8:AR75)</f>
        <v>0</v>
      </c>
      <c r="AS76" s="217"/>
      <c r="AT76" s="216">
        <f>SUM(AT8:AT75)</f>
        <v>950000</v>
      </c>
      <c r="AU76" s="217"/>
      <c r="AV76" s="216">
        <f>SUM(AV8:AV75)</f>
        <v>112480</v>
      </c>
      <c r="AW76" s="217"/>
      <c r="AX76" s="216">
        <f>SUM(AX8:AX75)</f>
        <v>5000</v>
      </c>
      <c r="AY76" s="217"/>
      <c r="AZ76" s="216">
        <f>SUM(AZ8:AZ75)</f>
        <v>0</v>
      </c>
      <c r="BA76" s="217"/>
      <c r="BB76" s="216">
        <f>SUM(BB8:BB75)</f>
        <v>0</v>
      </c>
      <c r="BC76" s="217"/>
      <c r="BD76" s="216">
        <f>SUM(BD8:BD75)</f>
        <v>0</v>
      </c>
      <c r="BE76" s="217"/>
      <c r="BF76" s="216">
        <f>SUM(BF8:BF75)</f>
        <v>0</v>
      </c>
      <c r="BG76" s="217"/>
      <c r="BH76" s="216">
        <f>SUM(BH8:BH75)</f>
        <v>0</v>
      </c>
      <c r="BI76" s="217"/>
      <c r="BJ76" s="216">
        <f>SUM(BJ8:BJ75)</f>
        <v>0</v>
      </c>
      <c r="BK76" s="217"/>
      <c r="BL76" s="216">
        <f>SUM(BL8:BL75)</f>
        <v>0</v>
      </c>
      <c r="BM76" s="217"/>
      <c r="BN76" s="216">
        <f>SUM(BN8:BN75)</f>
        <v>5235</v>
      </c>
      <c r="BO76" s="217"/>
      <c r="BP76" s="216">
        <f>SUM(BP8:BP75)</f>
        <v>0</v>
      </c>
      <c r="BQ76" s="217"/>
      <c r="BR76" s="203">
        <f t="shared" si="2"/>
        <v>2213703.94</v>
      </c>
      <c r="BS76" s="202" t="s">
        <v>28</v>
      </c>
    </row>
    <row r="77" spans="1:71" s="202" customFormat="1">
      <c r="A77" s="235"/>
      <c r="B77" s="204" t="s">
        <v>42</v>
      </c>
      <c r="C77" s="204"/>
      <c r="D77" s="218"/>
      <c r="E77" s="219">
        <f>SUM(E8:E75)</f>
        <v>0</v>
      </c>
      <c r="F77" s="218"/>
      <c r="G77" s="219">
        <f>SUM(G8:G75)</f>
        <v>128391.35</v>
      </c>
      <c r="H77" s="218"/>
      <c r="I77" s="219">
        <f>SUM(I8:I75)</f>
        <v>0</v>
      </c>
      <c r="J77" s="218"/>
      <c r="K77" s="219">
        <f>SUM(K8:K75)</f>
        <v>0</v>
      </c>
      <c r="L77" s="218"/>
      <c r="M77" s="219">
        <f>SUM(M8:M75)</f>
        <v>1901</v>
      </c>
      <c r="N77" s="218"/>
      <c r="O77" s="219">
        <f>SUM(O8:O75)</f>
        <v>0</v>
      </c>
      <c r="P77" s="218"/>
      <c r="Q77" s="219">
        <f>SUM(Q8:Q75)</f>
        <v>0</v>
      </c>
      <c r="R77" s="218"/>
      <c r="S77" s="219">
        <f>SUM(S8:S75)</f>
        <v>0</v>
      </c>
      <c r="T77" s="218"/>
      <c r="U77" s="219">
        <f>SUM(U8:U75)</f>
        <v>0</v>
      </c>
      <c r="V77" s="218"/>
      <c r="W77" s="219">
        <f>SUM(W8:W75)</f>
        <v>0</v>
      </c>
      <c r="X77" s="218"/>
      <c r="Y77" s="219">
        <f>SUM(Y8:Y75)</f>
        <v>0</v>
      </c>
      <c r="Z77" s="218"/>
      <c r="AA77" s="219">
        <f>SUM(AA8:AA75)</f>
        <v>0</v>
      </c>
      <c r="AB77" s="218"/>
      <c r="AC77" s="219">
        <f>SUM(AC8:AC75)</f>
        <v>0</v>
      </c>
      <c r="AD77" s="218"/>
      <c r="AE77" s="219">
        <f>SUM(AE8:AE75)</f>
        <v>0</v>
      </c>
      <c r="AF77" s="218"/>
      <c r="AG77" s="219">
        <f>SUM(AG8:AG75)</f>
        <v>20600</v>
      </c>
      <c r="AH77" s="218"/>
      <c r="AI77" s="219">
        <f>SUM(AI8:AI75)</f>
        <v>0</v>
      </c>
      <c r="AJ77" s="218"/>
      <c r="AK77" s="219">
        <f>SUM(AK8:AK75)</f>
        <v>26401.24</v>
      </c>
      <c r="AL77" s="218"/>
      <c r="AM77" s="219">
        <f>SUM(AM8:AM75)</f>
        <v>0</v>
      </c>
      <c r="AN77" s="218"/>
      <c r="AO77" s="219">
        <f>SUM(AO8:AO75)</f>
        <v>0</v>
      </c>
      <c r="AP77" s="218"/>
      <c r="AQ77" s="219">
        <f>SUM(AQ8:AQ75)</f>
        <v>0</v>
      </c>
      <c r="AR77" s="218"/>
      <c r="AS77" s="219">
        <f>SUM(AS8:AS75)</f>
        <v>0</v>
      </c>
      <c r="AT77" s="218"/>
      <c r="AU77" s="219">
        <f>SUM(AU8:AU75)</f>
        <v>0</v>
      </c>
      <c r="AV77" s="218"/>
      <c r="AW77" s="219">
        <f>SUM(AW8:AW75)</f>
        <v>0</v>
      </c>
      <c r="AX77" s="218"/>
      <c r="AY77" s="219">
        <f>SUM(AY8:AY75)</f>
        <v>0</v>
      </c>
      <c r="AZ77" s="218"/>
      <c r="BA77" s="219">
        <f>SUM(BA8:BA75)</f>
        <v>1067480</v>
      </c>
      <c r="BB77" s="218"/>
      <c r="BC77" s="219">
        <f>SUM(BC8:BC75)</f>
        <v>709182</v>
      </c>
      <c r="BD77" s="218"/>
      <c r="BE77" s="219">
        <f>SUM(BE8:BE75)</f>
        <v>253979.07</v>
      </c>
      <c r="BF77" s="218"/>
      <c r="BG77" s="219">
        <f>SUM(BG8:BG75)</f>
        <v>0</v>
      </c>
      <c r="BH77" s="218"/>
      <c r="BI77" s="219">
        <f>SUM(BI8:BI75)</f>
        <v>0</v>
      </c>
      <c r="BJ77" s="218"/>
      <c r="BK77" s="219">
        <f>SUM(BK8:BK75)</f>
        <v>0</v>
      </c>
      <c r="BL77" s="218"/>
      <c r="BM77" s="219">
        <f>SUM(BM8:BM75)</f>
        <v>0</v>
      </c>
      <c r="BN77" s="218"/>
      <c r="BO77" s="219">
        <f>SUM(BO8:BO75)</f>
        <v>5769.28</v>
      </c>
      <c r="BP77" s="218"/>
      <c r="BQ77" s="219">
        <f>SUM(BQ8:BQ75)</f>
        <v>0</v>
      </c>
      <c r="BR77" s="203">
        <f t="shared" si="2"/>
        <v>-2213703.94</v>
      </c>
      <c r="BS77" s="202" t="s">
        <v>29</v>
      </c>
    </row>
    <row r="78" spans="1:71" s="202" customFormat="1">
      <c r="A78" s="235"/>
      <c r="B78" s="204" t="s">
        <v>197</v>
      </c>
      <c r="C78" s="204"/>
      <c r="D78" s="220">
        <f>IF(D76&gt;=E77,D76-E77,"")</f>
        <v>0</v>
      </c>
      <c r="E78" s="221" t="str">
        <f>IF(D76&lt;E77,E77-D76,"")</f>
        <v/>
      </c>
      <c r="F78" s="220">
        <f>IF(F76&gt;=G77,F76-G77,"")</f>
        <v>5048.8499999999476</v>
      </c>
      <c r="G78" s="221" t="str">
        <f>IF(F76&lt;G77,G77-F76,"")</f>
        <v/>
      </c>
      <c r="H78" s="220">
        <f>IF(H76&gt;=I77,H76-I77,"")</f>
        <v>5000</v>
      </c>
      <c r="I78" s="221" t="str">
        <f>IF(H76&lt;I77,I77-H76,"")</f>
        <v/>
      </c>
      <c r="J78" s="220">
        <f>IF(J76&gt;=K77,J76-K77,"")</f>
        <v>0</v>
      </c>
      <c r="K78" s="221" t="str">
        <f>IF(J76&lt;K77,K77-J76,"")</f>
        <v/>
      </c>
      <c r="L78" s="220">
        <f>IF(L76&gt;=M77,L76-M77,"")</f>
        <v>4599</v>
      </c>
      <c r="M78" s="221" t="str">
        <f>IF(L76&lt;M77,M77-L76,"")</f>
        <v/>
      </c>
      <c r="N78" s="220">
        <f>IF(N76&gt;=O77,N76-O77,"")</f>
        <v>7658.32</v>
      </c>
      <c r="O78" s="221" t="str">
        <f>IF(N76&lt;O77,O77-N76,"")</f>
        <v/>
      </c>
      <c r="P78" s="220">
        <f>IF(P76&gt;=Q77,P76-Q77,"")</f>
        <v>0</v>
      </c>
      <c r="Q78" s="221" t="str">
        <f>IF(P76&lt;Q77,Q77-P76,"")</f>
        <v/>
      </c>
      <c r="R78" s="220">
        <f>IF(R76&gt;=S77,R76-S77,"")</f>
        <v>2822</v>
      </c>
      <c r="S78" s="221" t="str">
        <f>IF(R76&lt;S77,S77-R76,"")</f>
        <v/>
      </c>
      <c r="T78" s="220">
        <f>IF(T76&gt;=U77,T76-U77,"")</f>
        <v>2688.3</v>
      </c>
      <c r="U78" s="221" t="str">
        <f>IF(T76&lt;U77,U77-T76,"")</f>
        <v/>
      </c>
      <c r="V78" s="220">
        <f>IF(V76&gt;=W77,V76-W77,"")</f>
        <v>2500</v>
      </c>
      <c r="W78" s="221" t="str">
        <f>IF(V76&lt;W77,W77-V76,"")</f>
        <v/>
      </c>
      <c r="X78" s="220">
        <f>IF(X76&gt;=Y77,X76-Y77,"")</f>
        <v>235</v>
      </c>
      <c r="Y78" s="221" t="str">
        <f>IF(X76&lt;Y77,Y77-X76,"")</f>
        <v/>
      </c>
      <c r="Z78" s="220">
        <f>IF(Z76&gt;=AA77,Z76-AA77,"")</f>
        <v>0</v>
      </c>
      <c r="AA78" s="221" t="str">
        <f>IF(Z76&lt;AA77,AA77-Z76,"")</f>
        <v/>
      </c>
      <c r="AB78" s="220">
        <f>IF(AB76&gt;=AC77,AB76-AC77,"")</f>
        <v>8783.01</v>
      </c>
      <c r="AC78" s="221" t="str">
        <f>IF(AB76&lt;AC77,AC77-AB76,"")</f>
        <v/>
      </c>
      <c r="AD78" s="220">
        <f>IF(AD76&gt;=AE77,AD76-AE77,"")</f>
        <v>12504</v>
      </c>
      <c r="AE78" s="221" t="str">
        <f>IF(AD76&lt;AE77,AE77-AD76,"")</f>
        <v/>
      </c>
      <c r="AF78" s="220" t="str">
        <f>IF(AF76&gt;=AG77,AF76-AG77,"")</f>
        <v/>
      </c>
      <c r="AG78" s="221">
        <f>IF(AF76&lt;AG77,AG77-AF76,"")</f>
        <v>20600</v>
      </c>
      <c r="AH78" s="220">
        <f>IF(AH76&gt;=AI77,AH76-AI77,"")</f>
        <v>958858.11</v>
      </c>
      <c r="AI78" s="221" t="str">
        <f>IF(AH76&lt;AI77,AI77-AH76,"")</f>
        <v/>
      </c>
      <c r="AJ78" s="220" t="str">
        <f>IF(AJ76&gt;=AK77,AJ76-AK77,"")</f>
        <v/>
      </c>
      <c r="AK78" s="221">
        <f>IF(AJ76&lt;AK77,AK77-AJ76,"")</f>
        <v>26401.24</v>
      </c>
      <c r="AL78" s="220">
        <f>IF(AL76&gt;=AM77,AL76-AM77,"")</f>
        <v>0</v>
      </c>
      <c r="AM78" s="221" t="str">
        <f>IF(AL76&lt;AM77,AM77-AL76,"")</f>
        <v/>
      </c>
      <c r="AN78" s="220">
        <f>IF(AN76&gt;=AO77,AN76-AO77,"")</f>
        <v>0</v>
      </c>
      <c r="AO78" s="221" t="str">
        <f>IF(AN76&lt;AO77,AO77-AN76,"")</f>
        <v/>
      </c>
      <c r="AP78" s="220">
        <f>IF(AP76&gt;=AQ77,AP76-AQ77,"")</f>
        <v>0</v>
      </c>
      <c r="AQ78" s="221" t="str">
        <f>IF(AP76&lt;AQ77,AQ77-AP76,"")</f>
        <v/>
      </c>
      <c r="AR78" s="220">
        <f>IF(AR76&gt;=AS77,AR76-AS77,"")</f>
        <v>0</v>
      </c>
      <c r="AS78" s="221" t="str">
        <f>IF(AR76&lt;AS77,AS77-AR76,"")</f>
        <v/>
      </c>
      <c r="AT78" s="220">
        <f>IF(AT76&gt;=AU77,AT76-AU77,"")</f>
        <v>950000</v>
      </c>
      <c r="AU78" s="221" t="str">
        <f>IF(AT76&lt;AU77,AU77-AT76,"")</f>
        <v/>
      </c>
      <c r="AV78" s="220">
        <f>IF(AV76&gt;=AW77,AV76-AW77,"")</f>
        <v>112480</v>
      </c>
      <c r="AW78" s="221" t="str">
        <f>IF(AV76&lt;AW77,AW77-AV76,"")</f>
        <v/>
      </c>
      <c r="AX78" s="220">
        <f>IF(AX76&gt;=AY77,AX76-AY77,"")</f>
        <v>5000</v>
      </c>
      <c r="AY78" s="221" t="str">
        <f>IF(AX76&lt;AY77,AY77-AX76,"")</f>
        <v/>
      </c>
      <c r="AZ78" s="220" t="str">
        <f>IF(AZ76&gt;=BA77,AZ76-BA77,"")</f>
        <v/>
      </c>
      <c r="BA78" s="221">
        <f>IF(AZ76&lt;BA77,BA77-AZ76,"")</f>
        <v>1067480</v>
      </c>
      <c r="BB78" s="220" t="str">
        <f>IF(BB76&gt;=BC77,BB76-BC77,"")</f>
        <v/>
      </c>
      <c r="BC78" s="221">
        <f>IF(BB76&lt;BC77,BC77-BB76,"")</f>
        <v>709182</v>
      </c>
      <c r="BD78" s="220" t="str">
        <f>IF(BD76&gt;=BE77,BD76-BE77,"")</f>
        <v/>
      </c>
      <c r="BE78" s="221">
        <f>IF(BD76&lt;BE77,BE77-BD76,"")</f>
        <v>253979.07</v>
      </c>
      <c r="BF78" s="220">
        <f>IF(BF76&gt;=BG77,BF76-BG77,"")</f>
        <v>0</v>
      </c>
      <c r="BG78" s="221" t="str">
        <f>IF(BF76&lt;BG77,BG77-BF76,"")</f>
        <v/>
      </c>
      <c r="BH78" s="220">
        <f>IF(BH76&gt;=BI77,BH76-BI77,"")</f>
        <v>0</v>
      </c>
      <c r="BI78" s="221" t="str">
        <f>IF(BH76&lt;BI77,BI77-BH76,"")</f>
        <v/>
      </c>
      <c r="BJ78" s="220">
        <f>IF(BJ76&gt;=BK77,BJ76-BK77,"")</f>
        <v>0</v>
      </c>
      <c r="BK78" s="221" t="str">
        <f>IF(BJ76&lt;BK77,BK77-BJ76,"")</f>
        <v/>
      </c>
      <c r="BL78" s="220">
        <f>IF(BL76&gt;=BM77,BL76-BM77,"")</f>
        <v>0</v>
      </c>
      <c r="BM78" s="221" t="str">
        <f>IF(BL76&lt;BM77,BM77-BL76,"")</f>
        <v/>
      </c>
      <c r="BN78" s="220" t="str">
        <f>IF(BN76&gt;=BO77,BN76-BO77,"")</f>
        <v/>
      </c>
      <c r="BO78" s="221">
        <f>IF(BN76&lt;BO77,BO77-BN76,"")</f>
        <v>534.27999999999975</v>
      </c>
      <c r="BP78" s="220">
        <f>IF(BP76&gt;=BQ77,BP76-BQ77,"")</f>
        <v>0</v>
      </c>
      <c r="BQ78" s="221" t="str">
        <f>IF(BP76&lt;BQ77,BQ77-BP76,"")</f>
        <v/>
      </c>
      <c r="BR78" s="203">
        <f>SUM(BR76:BR77)</f>
        <v>0</v>
      </c>
    </row>
    <row r="79" spans="1:71" s="202" customFormat="1">
      <c r="A79" s="235"/>
      <c r="B79" s="207" t="s">
        <v>172</v>
      </c>
      <c r="C79" s="207"/>
      <c r="D79" s="216"/>
      <c r="E79" s="217"/>
      <c r="F79" s="216"/>
      <c r="G79" s="217"/>
      <c r="H79" s="216"/>
      <c r="I79" s="217"/>
      <c r="J79" s="216"/>
      <c r="K79" s="217"/>
      <c r="L79" s="216"/>
      <c r="M79" s="217"/>
      <c r="N79" s="216"/>
      <c r="O79" s="217"/>
      <c r="P79" s="216"/>
      <c r="Q79" s="217"/>
      <c r="R79" s="216"/>
      <c r="S79" s="217"/>
      <c r="T79" s="216"/>
      <c r="U79" s="217"/>
      <c r="V79" s="216"/>
      <c r="W79" s="217"/>
      <c r="X79" s="216"/>
      <c r="Y79" s="217"/>
      <c r="Z79" s="216"/>
      <c r="AA79" s="217"/>
      <c r="AB79" s="216"/>
      <c r="AC79" s="217"/>
      <c r="AD79" s="216"/>
      <c r="AE79" s="217"/>
      <c r="AF79" s="216"/>
      <c r="AG79" s="217"/>
      <c r="AH79" s="216"/>
      <c r="AI79" s="217"/>
      <c r="AJ79" s="216"/>
      <c r="AK79" s="217"/>
      <c r="AL79" s="216"/>
      <c r="AM79" s="217"/>
      <c r="AN79" s="216"/>
      <c r="AO79" s="217"/>
      <c r="AP79" s="216"/>
      <c r="AQ79" s="217"/>
      <c r="AR79" s="216"/>
      <c r="AS79" s="217"/>
      <c r="AT79" s="216"/>
      <c r="AU79" s="217"/>
      <c r="AV79" s="216"/>
      <c r="AW79" s="217"/>
      <c r="AX79" s="216"/>
      <c r="AY79" s="217"/>
      <c r="AZ79" s="216"/>
      <c r="BA79" s="217"/>
      <c r="BB79" s="245"/>
      <c r="BC79" s="246">
        <v>3905</v>
      </c>
      <c r="BD79" s="245">
        <v>3693.39</v>
      </c>
      <c r="BE79" s="246"/>
      <c r="BF79" s="216"/>
      <c r="BG79" s="217"/>
      <c r="BH79" s="216"/>
      <c r="BI79" s="217"/>
      <c r="BJ79" s="216"/>
      <c r="BK79" s="217"/>
      <c r="BL79" s="216"/>
      <c r="BM79" s="217"/>
      <c r="BN79" s="216"/>
      <c r="BO79" s="217"/>
      <c r="BP79" s="216"/>
      <c r="BQ79" s="217"/>
      <c r="BR79" s="193">
        <f>D79-E79+F79-G79+H79-I79+J79-K79+L79-M79+N79-O79+P79-Q79+R79-S79+T79-U79+V79-W79+X79-Y79+Z79-AA79+AB79-AC79+AD79-AE79+AF79-AG79+AH79-AI79+AJ79-AK79+AL79-AM79+AN79-AO79+AP79-AQ79+AR79-AS79+AT79-AU79+AV79-AW79+AX79-AY79+AZ79-BA79+BB79-BC79+BD79-BE79+BF79-BG79+BH79-BI79+BJ79-BK79+BL79-BM79+BN79-BO79+BP79-BQ79</f>
        <v>-211.61000000000013</v>
      </c>
      <c r="BS79" s="203"/>
    </row>
    <row r="80" spans="1:71" s="202" customFormat="1" ht="13.5" thickBot="1">
      <c r="A80" s="236"/>
      <c r="B80" s="237" t="s">
        <v>649</v>
      </c>
      <c r="C80" s="237"/>
      <c r="D80" s="238">
        <f>D78+D79</f>
        <v>0</v>
      </c>
      <c r="E80" s="239"/>
      <c r="F80" s="238">
        <f>F78+F79</f>
        <v>5048.8499999999476</v>
      </c>
      <c r="G80" s="239"/>
      <c r="H80" s="238"/>
      <c r="I80" s="239"/>
      <c r="J80" s="238"/>
      <c r="K80" s="239"/>
      <c r="L80" s="238"/>
      <c r="M80" s="239"/>
      <c r="N80" s="238"/>
      <c r="O80" s="239"/>
      <c r="P80" s="238"/>
      <c r="Q80" s="239"/>
      <c r="R80" s="238"/>
      <c r="S80" s="239"/>
      <c r="T80" s="238"/>
      <c r="U80" s="239"/>
      <c r="V80" s="238"/>
      <c r="W80" s="239"/>
      <c r="X80" s="238"/>
      <c r="Y80" s="239"/>
      <c r="Z80" s="238"/>
      <c r="AA80" s="239"/>
      <c r="AB80" s="238"/>
      <c r="AC80" s="239"/>
      <c r="AD80" s="238"/>
      <c r="AE80" s="239"/>
      <c r="AF80" s="238"/>
      <c r="AG80" s="239"/>
      <c r="AH80" s="238">
        <f>AH78+AH79</f>
        <v>958858.11</v>
      </c>
      <c r="AI80" s="239"/>
      <c r="AJ80" s="238"/>
      <c r="AK80" s="239"/>
      <c r="AL80" s="238"/>
      <c r="AM80" s="239"/>
      <c r="AN80" s="238"/>
      <c r="AO80" s="239"/>
      <c r="AP80" s="238"/>
      <c r="AQ80" s="239"/>
      <c r="AR80" s="238">
        <f>AR78+AR79</f>
        <v>0</v>
      </c>
      <c r="AS80" s="239"/>
      <c r="AT80" s="238">
        <f>AT78+AT79</f>
        <v>950000</v>
      </c>
      <c r="AU80" s="239"/>
      <c r="AV80" s="238">
        <f>AV78+AV79</f>
        <v>112480</v>
      </c>
      <c r="AW80" s="239"/>
      <c r="AX80" s="238">
        <f>AX78+AX79</f>
        <v>5000</v>
      </c>
      <c r="AY80" s="239"/>
      <c r="AZ80" s="238"/>
      <c r="BA80" s="239">
        <f>BA78+BA79</f>
        <v>1067480</v>
      </c>
      <c r="BB80" s="238"/>
      <c r="BC80" s="239">
        <f>BC78+BC79-BB79</f>
        <v>713087</v>
      </c>
      <c r="BD80" s="238"/>
      <c r="BE80" s="239">
        <f>BE78+BE79-BD79</f>
        <v>250285.68</v>
      </c>
      <c r="BF80" s="238">
        <f>BF78+BF79</f>
        <v>0</v>
      </c>
      <c r="BG80" s="239"/>
      <c r="BH80" s="238">
        <f>BH78+BH79</f>
        <v>0</v>
      </c>
      <c r="BI80" s="239"/>
      <c r="BJ80" s="238">
        <f>BJ78+BJ79</f>
        <v>0</v>
      </c>
      <c r="BK80" s="239"/>
      <c r="BL80" s="238">
        <f>BL78+BL79</f>
        <v>0</v>
      </c>
      <c r="BM80" s="239"/>
      <c r="BN80" s="238"/>
      <c r="BO80" s="239">
        <f>BO78+BO79-BN79</f>
        <v>534.27999999999975</v>
      </c>
      <c r="BP80" s="238">
        <f>BP78+BP79</f>
        <v>0</v>
      </c>
      <c r="BQ80" s="239"/>
      <c r="BR80" s="193">
        <f>D80-E80+F80-G80+H80-I80+J80-K80+L80-M80+N80-O80+P80-Q80+R80-S80+T80-U80+V80-W80+X80-Y80+Z80-AA80+AB80-AC80+AD80-AE80+AF80-AG80+AH80-AI80+AJ80-AK80+AL80-AM80+AN80-AO80+AP80-AQ80+AR80-AS80+AT80-AU80+AV80-AW80+AX80-AY80+AZ80-BA80+BB80-BC80+BD80-BE80+BF80-BG80+BH80-BI80+BJ80-BK80+BL80-BM80+BN80-BO80+BP80-BQ80</f>
        <v>-3.0013325158506632E-11</v>
      </c>
    </row>
    <row r="81" spans="2:70">
      <c r="B81" s="158"/>
      <c r="G81" s="113"/>
      <c r="H81" s="159"/>
      <c r="BR81" s="113"/>
    </row>
    <row r="82" spans="2:70">
      <c r="E82" s="43"/>
      <c r="F82" s="113"/>
    </row>
    <row r="83" spans="2:70">
      <c r="BR83" s="113"/>
    </row>
    <row r="84" spans="2:70" ht="24.75">
      <c r="B84" s="147" t="s">
        <v>666</v>
      </c>
      <c r="F84" s="113"/>
    </row>
    <row r="86" spans="2:70" ht="19.5">
      <c r="B86" s="148" t="s">
        <v>51</v>
      </c>
      <c r="C86" s="148"/>
      <c r="D86" s="148">
        <v>2012</v>
      </c>
      <c r="E86" s="148">
        <v>2011</v>
      </c>
    </row>
    <row r="87" spans="2:70">
      <c r="B87" s="35"/>
    </row>
    <row r="88" spans="2:70">
      <c r="B88" s="33" t="s">
        <v>52</v>
      </c>
    </row>
    <row r="89" spans="2:70">
      <c r="B89" s="33" t="s">
        <v>53</v>
      </c>
      <c r="H89" s="35"/>
      <c r="AF89" s="34"/>
      <c r="AG89" s="34"/>
    </row>
    <row r="90" spans="2:70">
      <c r="B90" s="276" t="s">
        <v>670</v>
      </c>
      <c r="C90" s="177"/>
      <c r="D90" s="155">
        <f>$F$76-$G$77</f>
        <v>5048.8499999999476</v>
      </c>
      <c r="E90" s="155">
        <f>F8</f>
        <v>110705.31999999995</v>
      </c>
      <c r="F90" s="77"/>
      <c r="H90" s="64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5"/>
      <c r="AG90" s="75"/>
    </row>
    <row r="91" spans="2:70">
      <c r="B91" s="276" t="s">
        <v>703</v>
      </c>
      <c r="C91" s="177"/>
      <c r="D91" s="155">
        <f>$AH$76-$AI$77</f>
        <v>958858.11</v>
      </c>
      <c r="E91" s="155">
        <f>AH8</f>
        <v>857690.75</v>
      </c>
      <c r="F91" s="77"/>
      <c r="H91" s="64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5"/>
      <c r="AG91" s="75"/>
    </row>
    <row r="92" spans="2:70">
      <c r="B92" s="276" t="s">
        <v>32</v>
      </c>
      <c r="C92" s="177"/>
      <c r="D92" s="155">
        <f>$BP$76-$BQ$77</f>
        <v>0</v>
      </c>
      <c r="E92" s="155">
        <f>BP8</f>
        <v>0</v>
      </c>
      <c r="F92" s="77"/>
      <c r="G92" s="77"/>
      <c r="H92" s="64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5"/>
      <c r="AG92" s="75"/>
    </row>
    <row r="93" spans="2:70">
      <c r="B93" s="33" t="s">
        <v>60</v>
      </c>
      <c r="D93" s="281">
        <f>SUM(D90:D92)</f>
        <v>963906.96</v>
      </c>
      <c r="E93" s="281">
        <f>SUM(E90:E92)</f>
        <v>968396.07</v>
      </c>
      <c r="F93" s="37"/>
      <c r="H93" s="64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5"/>
      <c r="AG93" s="75"/>
    </row>
    <row r="94" spans="2:70">
      <c r="B94" s="35"/>
      <c r="D94" s="77"/>
      <c r="E94" s="77"/>
      <c r="F94" s="37"/>
      <c r="H94" s="64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5"/>
      <c r="AG94" s="75"/>
    </row>
    <row r="95" spans="2:70">
      <c r="B95" s="33" t="s">
        <v>61</v>
      </c>
      <c r="C95" s="177" t="s">
        <v>506</v>
      </c>
      <c r="D95" s="77"/>
      <c r="E95" s="77"/>
      <c r="F95" s="37"/>
      <c r="H95" s="64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5"/>
      <c r="AG95" s="75"/>
    </row>
    <row r="96" spans="2:70">
      <c r="B96" s="35" t="s">
        <v>63</v>
      </c>
      <c r="C96" s="177"/>
      <c r="D96" s="155">
        <f>$AT$76-$AU$77</f>
        <v>950000</v>
      </c>
      <c r="E96" s="155">
        <f>AT8</f>
        <v>950000</v>
      </c>
      <c r="F96" s="37"/>
      <c r="H96" s="64"/>
    </row>
    <row r="97" spans="2:33">
      <c r="B97" s="36" t="s">
        <v>64</v>
      </c>
      <c r="C97" s="177"/>
      <c r="D97" s="155">
        <f>$AV$76-$AW$77</f>
        <v>112480</v>
      </c>
      <c r="E97" s="155">
        <f>AV8</f>
        <v>112480</v>
      </c>
      <c r="F97" s="37"/>
    </row>
    <row r="98" spans="2:33">
      <c r="B98" s="36" t="s">
        <v>339</v>
      </c>
      <c r="C98" s="177"/>
      <c r="D98" s="155">
        <f>$AX$76-$AY$77</f>
        <v>5000</v>
      </c>
      <c r="E98" s="155">
        <f>AX8</f>
        <v>5000</v>
      </c>
      <c r="F98" s="37"/>
    </row>
    <row r="99" spans="2:33">
      <c r="B99" s="38" t="s">
        <v>66</v>
      </c>
      <c r="D99" s="281">
        <f>SUM(D96:D98)</f>
        <v>1067480</v>
      </c>
      <c r="E99" s="281">
        <f>SUM(E96:E98)</f>
        <v>1067480</v>
      </c>
      <c r="F99" s="37"/>
    </row>
    <row r="100" spans="2:33">
      <c r="B100" s="35"/>
      <c r="D100" s="77"/>
      <c r="E100" s="77"/>
      <c r="F100" s="37"/>
    </row>
    <row r="101" spans="2:33">
      <c r="B101" s="35"/>
      <c r="D101" s="77"/>
      <c r="E101" s="77"/>
      <c r="F101" s="37"/>
    </row>
    <row r="102" spans="2:33" ht="13.5" thickBot="1">
      <c r="B102" s="38" t="s">
        <v>67</v>
      </c>
      <c r="D102" s="156">
        <f>D93+D99</f>
        <v>2031386.96</v>
      </c>
      <c r="E102" s="156">
        <f>E93+E99</f>
        <v>2035876.0699999998</v>
      </c>
      <c r="F102" s="37"/>
      <c r="AF102" s="75"/>
      <c r="AG102" s="75"/>
    </row>
    <row r="103" spans="2:33" ht="13.5" thickTop="1">
      <c r="B103" s="35"/>
      <c r="D103" s="77"/>
      <c r="E103" s="77"/>
      <c r="AF103" s="75"/>
      <c r="AG103" s="75"/>
    </row>
    <row r="104" spans="2:33">
      <c r="B104" s="35"/>
      <c r="D104" s="77"/>
      <c r="E104" s="77"/>
      <c r="AF104" s="75"/>
      <c r="AG104" s="75"/>
    </row>
    <row r="105" spans="2:33">
      <c r="B105" s="33" t="s">
        <v>68</v>
      </c>
      <c r="D105" s="77"/>
      <c r="E105" s="77"/>
      <c r="AF105" s="75"/>
      <c r="AG105" s="75"/>
    </row>
    <row r="106" spans="2:33">
      <c r="B106" s="35" t="s">
        <v>69</v>
      </c>
      <c r="C106" s="177" t="s">
        <v>644</v>
      </c>
      <c r="D106" s="155">
        <f>-$BN$76+$BO$77</f>
        <v>534.27999999999975</v>
      </c>
      <c r="E106" s="155">
        <f>BO8</f>
        <v>5235</v>
      </c>
      <c r="AF106" s="75"/>
      <c r="AG106" s="75"/>
    </row>
    <row r="107" spans="2:33">
      <c r="B107" s="33" t="s">
        <v>70</v>
      </c>
      <c r="D107" s="281">
        <f>SUM(D106:D106)</f>
        <v>534.27999999999975</v>
      </c>
      <c r="E107" s="281">
        <f>SUM(E106:E106)</f>
        <v>5235</v>
      </c>
      <c r="H107" s="34"/>
    </row>
    <row r="108" spans="2:33">
      <c r="B108" s="35"/>
      <c r="D108" s="77"/>
      <c r="E108" s="77"/>
      <c r="G108" s="152"/>
    </row>
    <row r="109" spans="2:33">
      <c r="B109" s="33" t="s">
        <v>71</v>
      </c>
      <c r="C109" s="177" t="s">
        <v>707</v>
      </c>
      <c r="D109" s="77"/>
      <c r="E109" s="77"/>
    </row>
    <row r="110" spans="2:33">
      <c r="B110" s="35" t="s">
        <v>72</v>
      </c>
      <c r="C110" s="177"/>
      <c r="D110" s="155">
        <f>-$AZ$76+$BA$77</f>
        <v>1067480</v>
      </c>
      <c r="E110" s="155">
        <f>BA8</f>
        <v>1067480</v>
      </c>
      <c r="F110" s="77"/>
      <c r="H110" s="77"/>
    </row>
    <row r="111" spans="2:33">
      <c r="B111" s="276" t="s">
        <v>687</v>
      </c>
      <c r="C111" s="177"/>
      <c r="D111" s="155">
        <f>-$BB$76+$BC$77</f>
        <v>709182</v>
      </c>
      <c r="E111" s="155">
        <f>BC8</f>
        <v>709182</v>
      </c>
    </row>
    <row r="112" spans="2:33">
      <c r="B112" s="276" t="s">
        <v>692</v>
      </c>
      <c r="C112" s="177"/>
      <c r="D112" s="155">
        <f>-$BD$76+$BE$77</f>
        <v>253979.07</v>
      </c>
      <c r="E112" s="155">
        <f>BE8</f>
        <v>253979.07</v>
      </c>
      <c r="F112" s="39"/>
    </row>
    <row r="113" spans="2:31">
      <c r="B113" s="38" t="s">
        <v>75</v>
      </c>
      <c r="D113" s="281">
        <f>SUM(D110:D112)</f>
        <v>2030641.07</v>
      </c>
      <c r="E113" s="281">
        <f>SUM(E110:E112)</f>
        <v>2030641.07</v>
      </c>
      <c r="F113" s="66"/>
    </row>
    <row r="114" spans="2:31">
      <c r="B114" s="35"/>
      <c r="D114" s="77"/>
      <c r="E114" s="77"/>
    </row>
    <row r="115" spans="2:31">
      <c r="B115" s="33" t="s">
        <v>76</v>
      </c>
      <c r="D115" s="77"/>
      <c r="E115" s="77"/>
      <c r="F115" s="77"/>
    </row>
    <row r="116" spans="2:31">
      <c r="B116" s="36" t="s">
        <v>369</v>
      </c>
      <c r="D116" s="155">
        <f>D102-D107-D113</f>
        <v>211.60999999986961</v>
      </c>
      <c r="E116" s="155"/>
      <c r="F116" s="41"/>
    </row>
    <row r="117" spans="2:31">
      <c r="B117" s="35"/>
      <c r="D117" s="77"/>
      <c r="E117" s="77"/>
    </row>
    <row r="118" spans="2:31" ht="13.5" thickBot="1">
      <c r="B118" s="33" t="s">
        <v>77</v>
      </c>
      <c r="D118" s="156">
        <f>D107+D113+D116</f>
        <v>2031386.96</v>
      </c>
      <c r="E118" s="156">
        <f>E107+E113+E116</f>
        <v>2035876.07</v>
      </c>
    </row>
    <row r="119" spans="2:31" ht="13.5" thickTop="1">
      <c r="B119" s="35"/>
      <c r="D119" s="77"/>
      <c r="E119" s="77"/>
    </row>
    <row r="120" spans="2:31">
      <c r="D120" s="77"/>
      <c r="E120" s="77"/>
    </row>
    <row r="121" spans="2:31" ht="24.75">
      <c r="B121" s="147" t="s">
        <v>667</v>
      </c>
      <c r="D121" s="77"/>
      <c r="E121" s="77"/>
    </row>
    <row r="122" spans="2:31">
      <c r="D122" s="77"/>
      <c r="E122" s="77"/>
      <c r="F122" s="35"/>
      <c r="G122" s="73"/>
    </row>
    <row r="123" spans="2:31" ht="19.5">
      <c r="B123" s="148" t="s">
        <v>313</v>
      </c>
      <c r="C123" s="148"/>
      <c r="D123" s="148">
        <v>2012</v>
      </c>
      <c r="E123" s="148">
        <v>2011</v>
      </c>
      <c r="F123" s="148" t="s">
        <v>614</v>
      </c>
      <c r="G123" s="149" t="s">
        <v>314</v>
      </c>
      <c r="H123" s="150" t="s">
        <v>315</v>
      </c>
      <c r="I123" s="148" t="s">
        <v>668</v>
      </c>
    </row>
    <row r="124" spans="2:31">
      <c r="B124" s="34" t="s">
        <v>153</v>
      </c>
      <c r="D124" s="77"/>
      <c r="E124" s="77"/>
      <c r="F124" s="35"/>
      <c r="G124" s="35"/>
      <c r="K124" t="s">
        <v>698</v>
      </c>
    </row>
    <row r="125" spans="2:31">
      <c r="B125" t="s">
        <v>154</v>
      </c>
      <c r="D125" s="155">
        <f>-$AF$76+$AG$77</f>
        <v>20600</v>
      </c>
      <c r="E125" s="155">
        <v>22000</v>
      </c>
      <c r="F125" s="155">
        <v>22000</v>
      </c>
      <c r="G125" s="155">
        <f>D125-F125</f>
        <v>-1400</v>
      </c>
      <c r="H125" s="151">
        <f>IF(F125=0,"---",G125/F125)</f>
        <v>-6.363636363636363E-2</v>
      </c>
      <c r="I125" s="155">
        <v>22000</v>
      </c>
      <c r="K125" s="155">
        <v>200</v>
      </c>
      <c r="L125" s="155">
        <f>I125/K125</f>
        <v>110</v>
      </c>
      <c r="M125" s="155" t="s">
        <v>695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</row>
    <row r="126" spans="2:31">
      <c r="B126" t="s">
        <v>618</v>
      </c>
      <c r="C126" s="177"/>
      <c r="D126" s="155">
        <f>-$AJ$76+$AK$77</f>
        <v>26401.24</v>
      </c>
      <c r="E126" s="155">
        <v>9000.4699999999993</v>
      </c>
      <c r="F126" s="155">
        <v>11000</v>
      </c>
      <c r="G126" s="155">
        <f>D126-F126</f>
        <v>15401.240000000002</v>
      </c>
      <c r="H126" s="151">
        <f>IF(F126=0,"---",G126/F126)</f>
        <v>1.4001127272727274</v>
      </c>
      <c r="I126" s="155">
        <v>25000</v>
      </c>
      <c r="J126" s="155"/>
      <c r="K126" s="155">
        <v>200</v>
      </c>
      <c r="L126" s="155">
        <f>D125/K126</f>
        <v>103</v>
      </c>
      <c r="M126" s="155" t="s">
        <v>700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</row>
    <row r="127" spans="2:31">
      <c r="B127" s="79" t="s">
        <v>355</v>
      </c>
      <c r="D127" s="155">
        <f>-$AN$76+$AO$77</f>
        <v>0</v>
      </c>
      <c r="E127" s="155">
        <v>0</v>
      </c>
      <c r="F127" s="155">
        <v>0</v>
      </c>
      <c r="G127" s="155">
        <f>D127-F127</f>
        <v>0</v>
      </c>
      <c r="H127" s="151" t="str">
        <f>IF(F127=0,"---",G127/F127)</f>
        <v>---</v>
      </c>
      <c r="I127" s="155">
        <v>0</v>
      </c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</row>
    <row r="128" spans="2:31" ht="16.5" thickBot="1">
      <c r="B128" s="154" t="s">
        <v>158</v>
      </c>
      <c r="C128" s="154"/>
      <c r="D128" s="156">
        <f>SUM(D125:D127)</f>
        <v>47001.240000000005</v>
      </c>
      <c r="E128" s="156">
        <f>SUM(E125:E127)</f>
        <v>31000.47</v>
      </c>
      <c r="F128" s="156">
        <f>SUM(F125:F127)</f>
        <v>33000</v>
      </c>
      <c r="G128" s="156">
        <f>SUM(G125:G127)</f>
        <v>14001.240000000002</v>
      </c>
      <c r="H128" s="153">
        <f>IF(F128=0,"---",G128/F128)</f>
        <v>0.42428000000000005</v>
      </c>
      <c r="I128" s="156">
        <f>SUM(I125:I127)</f>
        <v>47000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</row>
    <row r="129" spans="2:31" ht="13.5" thickTop="1">
      <c r="D129" s="77"/>
      <c r="E129" s="77"/>
      <c r="F129" s="77"/>
      <c r="G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</row>
    <row r="130" spans="2:31">
      <c r="B130" s="34" t="s">
        <v>159</v>
      </c>
      <c r="D130" s="77"/>
      <c r="E130" s="77"/>
      <c r="F130" s="77"/>
      <c r="G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</row>
    <row r="131" spans="2:31">
      <c r="B131" t="s">
        <v>485</v>
      </c>
      <c r="C131" s="177" t="s">
        <v>378</v>
      </c>
      <c r="D131" s="155">
        <f>$H$76-$I$77</f>
        <v>5000</v>
      </c>
      <c r="E131" s="155">
        <v>5000</v>
      </c>
      <c r="F131" s="155">
        <v>10000</v>
      </c>
      <c r="G131" s="155">
        <f>D131-F131</f>
        <v>-5000</v>
      </c>
      <c r="H131" s="151">
        <f t="shared" ref="H131:H142" si="3">IF(F131=0,"---",G131/F131)</f>
        <v>-0.5</v>
      </c>
      <c r="I131" s="155">
        <v>10000</v>
      </c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</row>
    <row r="132" spans="2:31">
      <c r="B132" t="s">
        <v>488</v>
      </c>
      <c r="C132" s="177" t="s">
        <v>379</v>
      </c>
      <c r="D132" s="155">
        <f>$L$76-$M$77</f>
        <v>4599</v>
      </c>
      <c r="E132" s="155">
        <v>8826.4</v>
      </c>
      <c r="F132" s="155">
        <v>5000</v>
      </c>
      <c r="G132" s="155">
        <f t="shared" ref="G132:G140" si="4">D132-F132</f>
        <v>-401</v>
      </c>
      <c r="H132" s="151">
        <f t="shared" si="3"/>
        <v>-8.0199999999999994E-2</v>
      </c>
      <c r="I132" s="155">
        <v>10000</v>
      </c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</row>
    <row r="133" spans="2:31">
      <c r="B133" t="s">
        <v>163</v>
      </c>
      <c r="C133" s="177" t="s">
        <v>380</v>
      </c>
      <c r="D133" s="155">
        <f>$N$76-$O$77</f>
        <v>7658.32</v>
      </c>
      <c r="E133" s="155">
        <v>9753.9</v>
      </c>
      <c r="F133" s="155">
        <v>10000</v>
      </c>
      <c r="G133" s="155">
        <f t="shared" si="4"/>
        <v>-2341.6800000000003</v>
      </c>
      <c r="H133" s="151">
        <f t="shared" si="3"/>
        <v>-0.23416800000000004</v>
      </c>
      <c r="I133" s="155">
        <v>10000</v>
      </c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</row>
    <row r="134" spans="2:31">
      <c r="B134" t="s">
        <v>637</v>
      </c>
      <c r="C134" s="177" t="s">
        <v>428</v>
      </c>
      <c r="D134" s="155">
        <f>$AD$76-$AE$77</f>
        <v>12504</v>
      </c>
      <c r="E134" s="155">
        <v>0</v>
      </c>
      <c r="F134" s="155">
        <v>5000</v>
      </c>
      <c r="G134" s="155">
        <f>D134-F134</f>
        <v>7504</v>
      </c>
      <c r="H134" s="151">
        <f>IF(F134=0,"---",G134/F134)</f>
        <v>1.5007999999999999</v>
      </c>
      <c r="I134" s="155">
        <v>5000</v>
      </c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</row>
    <row r="135" spans="2:31">
      <c r="B135" s="277" t="s">
        <v>684</v>
      </c>
      <c r="C135" s="177" t="s">
        <v>430</v>
      </c>
      <c r="D135" s="155">
        <f>$AB$76-$AC$77</f>
        <v>8783.01</v>
      </c>
      <c r="E135" s="155">
        <v>0</v>
      </c>
      <c r="F135" s="155">
        <v>10000</v>
      </c>
      <c r="G135" s="155">
        <f>D135-F135</f>
        <v>-1216.9899999999998</v>
      </c>
      <c r="H135" s="151">
        <f>IF(F135=0,"---",G135/F135)</f>
        <v>-0.12169899999999997</v>
      </c>
      <c r="I135" s="155">
        <v>5000</v>
      </c>
      <c r="J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</row>
    <row r="136" spans="2:31">
      <c r="B136" t="s">
        <v>166</v>
      </c>
      <c r="C136" s="177" t="s">
        <v>486</v>
      </c>
      <c r="D136" s="155">
        <f>$T$76-$U$77</f>
        <v>2688.3</v>
      </c>
      <c r="E136" s="155">
        <v>-30</v>
      </c>
      <c r="F136" s="155">
        <v>5000</v>
      </c>
      <c r="G136" s="155">
        <f t="shared" si="4"/>
        <v>-2311.6999999999998</v>
      </c>
      <c r="H136" s="151">
        <f t="shared" si="3"/>
        <v>-0.46233999999999997</v>
      </c>
      <c r="I136" s="155">
        <v>5000</v>
      </c>
      <c r="J136" s="155"/>
      <c r="K136" s="155">
        <f>L125*6</f>
        <v>660</v>
      </c>
      <c r="L136" s="155" t="s">
        <v>696</v>
      </c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</row>
    <row r="137" spans="2:31">
      <c r="B137" t="s">
        <v>170</v>
      </c>
      <c r="D137" s="155">
        <f>$X$76-$Y$77</f>
        <v>235</v>
      </c>
      <c r="E137" s="155">
        <v>235</v>
      </c>
      <c r="F137" s="155">
        <v>235</v>
      </c>
      <c r="G137" s="155">
        <f>D137-F137</f>
        <v>0</v>
      </c>
      <c r="H137" s="151">
        <f>IF(F137=0,"---",G137/F137)</f>
        <v>0</v>
      </c>
      <c r="I137" s="155">
        <v>235</v>
      </c>
      <c r="J137" s="155"/>
      <c r="K137" s="282">
        <v>500</v>
      </c>
      <c r="L137" s="282" t="s">
        <v>697</v>
      </c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</row>
    <row r="138" spans="2:31">
      <c r="B138" s="277" t="s">
        <v>694</v>
      </c>
      <c r="D138" s="155">
        <f>$P$76-$Q$77</f>
        <v>0</v>
      </c>
      <c r="E138" s="155">
        <v>0</v>
      </c>
      <c r="F138" s="155">
        <v>0</v>
      </c>
      <c r="G138" s="155">
        <f>D138-F138</f>
        <v>0</v>
      </c>
      <c r="H138" s="151" t="str">
        <f>IF(F138=0,"---",G138/F138)</f>
        <v>---</v>
      </c>
      <c r="I138" s="155">
        <v>1200</v>
      </c>
      <c r="J138" s="155"/>
      <c r="K138" s="155">
        <f>K136+K137</f>
        <v>1160</v>
      </c>
      <c r="L138" s="155" t="s">
        <v>699</v>
      </c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</row>
    <row r="139" spans="2:31">
      <c r="B139" t="s">
        <v>95</v>
      </c>
      <c r="D139" s="155">
        <f>$R$76-$S$77</f>
        <v>2822</v>
      </c>
      <c r="E139" s="155">
        <v>2793</v>
      </c>
      <c r="F139" s="155">
        <v>2800</v>
      </c>
      <c r="G139" s="155">
        <f>D139-F139</f>
        <v>22</v>
      </c>
      <c r="H139" s="151">
        <f>IF(F139=0,"---",G139/F139)</f>
        <v>7.8571428571428577E-3</v>
      </c>
      <c r="I139" s="155">
        <v>2850</v>
      </c>
      <c r="J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</row>
    <row r="140" spans="2:31">
      <c r="B140" t="s">
        <v>169</v>
      </c>
      <c r="D140" s="155">
        <f>$V$76-$W$77</f>
        <v>2500</v>
      </c>
      <c r="E140" s="155">
        <v>2500</v>
      </c>
      <c r="F140" s="155">
        <v>2500</v>
      </c>
      <c r="G140" s="155">
        <f t="shared" si="4"/>
        <v>0</v>
      </c>
      <c r="H140" s="151">
        <f t="shared" si="3"/>
        <v>0</v>
      </c>
      <c r="I140" s="155">
        <v>2500</v>
      </c>
      <c r="J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</row>
    <row r="141" spans="2:31">
      <c r="B141" t="s">
        <v>427</v>
      </c>
      <c r="C141" s="177" t="s">
        <v>501</v>
      </c>
      <c r="D141" s="155">
        <f>$Z$76-$AA$77</f>
        <v>0</v>
      </c>
      <c r="E141" s="155">
        <v>0</v>
      </c>
      <c r="F141" s="155">
        <v>0</v>
      </c>
      <c r="G141" s="155">
        <f>D141-F141</f>
        <v>0</v>
      </c>
      <c r="H141" s="151" t="str">
        <f>IF(F141=0,"---",G141/F141)</f>
        <v>---</v>
      </c>
      <c r="I141" s="155">
        <v>0</v>
      </c>
      <c r="J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</row>
    <row r="142" spans="2:31" ht="16.5" thickBot="1">
      <c r="B142" s="154" t="s">
        <v>171</v>
      </c>
      <c r="C142" s="154"/>
      <c r="D142" s="156">
        <f>SUM(D131:D141)</f>
        <v>46789.630000000005</v>
      </c>
      <c r="E142" s="156">
        <f>SUM(E131:E141)</f>
        <v>29078.3</v>
      </c>
      <c r="F142" s="156">
        <f>SUM(F131:F141)</f>
        <v>50535</v>
      </c>
      <c r="G142" s="156">
        <f>SUM(G131:G141)</f>
        <v>-3745.37</v>
      </c>
      <c r="H142" s="153">
        <f t="shared" si="3"/>
        <v>-7.4114376174928262E-2</v>
      </c>
      <c r="I142" s="156">
        <f>SUM(I131:I141)</f>
        <v>51785</v>
      </c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</row>
    <row r="143" spans="2:31" ht="13.5" thickTop="1"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</row>
    <row r="144" spans="2:31" ht="16.5" thickBot="1">
      <c r="B144" s="154" t="s">
        <v>141</v>
      </c>
      <c r="C144" s="154"/>
      <c r="D144" s="156">
        <f>D128-D142</f>
        <v>211.61000000000058</v>
      </c>
      <c r="E144" s="156">
        <v>720</v>
      </c>
      <c r="F144" s="156">
        <f>F128-F142</f>
        <v>-17535</v>
      </c>
      <c r="G144" s="156">
        <f>G128-G142</f>
        <v>17746.61</v>
      </c>
      <c r="H144" s="153">
        <f>IF(F144=0,"---",G144/F144)</f>
        <v>-1.0120678642714571</v>
      </c>
      <c r="I144" s="156">
        <f>I128-I142</f>
        <v>-4785</v>
      </c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</row>
    <row r="145" spans="2:31" ht="13.5" thickTop="1">
      <c r="D145" s="77"/>
      <c r="E145" s="77"/>
      <c r="F145" s="77"/>
      <c r="G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</row>
    <row r="146" spans="2:31">
      <c r="B146" s="34" t="s">
        <v>172</v>
      </c>
      <c r="C146" s="177" t="s">
        <v>502</v>
      </c>
      <c r="D146" s="77"/>
      <c r="E146" s="77"/>
      <c r="F146" s="77"/>
      <c r="G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</row>
    <row r="147" spans="2:31">
      <c r="B147" t="s">
        <v>691</v>
      </c>
      <c r="D147" s="155">
        <v>3905</v>
      </c>
      <c r="E147" s="155">
        <v>1800.0940000000001</v>
      </c>
      <c r="F147" s="155">
        <f>SUM(F126:F126)*0.2</f>
        <v>2200</v>
      </c>
      <c r="G147" s="155">
        <f>D147-F147</f>
        <v>1705</v>
      </c>
      <c r="H147" s="151">
        <f>IF(F147=0,"---",G147/F147)</f>
        <v>0.77500000000000002</v>
      </c>
      <c r="I147" s="155">
        <f>SUM(I126:I126)*0.2</f>
        <v>5000</v>
      </c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</row>
    <row r="148" spans="2:31">
      <c r="B148" t="s">
        <v>693</v>
      </c>
      <c r="D148" s="155">
        <f>D144-D147</f>
        <v>-3693.3899999999994</v>
      </c>
      <c r="E148" s="155">
        <v>122.07600000000184</v>
      </c>
      <c r="F148" s="155">
        <f>F144-F147</f>
        <v>-19735</v>
      </c>
      <c r="G148" s="155">
        <f>D148-F148</f>
        <v>16041.61</v>
      </c>
      <c r="H148" s="151">
        <f>IF(F148=0,"---",G148/F148)</f>
        <v>-0.81285077273878903</v>
      </c>
      <c r="I148" s="155">
        <f>I144-I147</f>
        <v>-9785</v>
      </c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</row>
    <row r="149" spans="2:31" ht="16.5" thickBot="1">
      <c r="B149" s="154" t="s">
        <v>175</v>
      </c>
      <c r="C149" s="154"/>
      <c r="D149" s="156">
        <f>SUM(D147:D148)</f>
        <v>211.61000000000058</v>
      </c>
      <c r="E149" s="156">
        <f>SUM(E147:E148)</f>
        <v>1922.1700000000019</v>
      </c>
      <c r="F149" s="156">
        <f>SUM(F147:F148)</f>
        <v>-17535</v>
      </c>
      <c r="G149" s="156">
        <f>D149-F149</f>
        <v>17746.61</v>
      </c>
      <c r="H149" s="153">
        <f>IF(F149=0,"---",G149/F149)</f>
        <v>-1.0120678642714571</v>
      </c>
      <c r="I149" s="156">
        <f>SUM(I147:I148)</f>
        <v>-4785</v>
      </c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</row>
    <row r="150" spans="2:31" ht="13.5" thickTop="1"/>
    <row r="151" spans="2:31">
      <c r="F151" s="113"/>
    </row>
    <row r="152" spans="2:31">
      <c r="D152" s="79" t="str">
        <f>IF(AND(D116-D149&lt;1,D116-D149&gt;-1),"OK","FEIL !!")</f>
        <v>OK</v>
      </c>
      <c r="F152" s="113"/>
    </row>
    <row r="153" spans="2:31">
      <c r="F153" s="77"/>
    </row>
    <row r="154" spans="2:31">
      <c r="B154" s="34" t="s">
        <v>505</v>
      </c>
      <c r="D154" s="77"/>
      <c r="F154" s="77"/>
    </row>
    <row r="155" spans="2:31">
      <c r="D155" s="77"/>
      <c r="F155" s="77"/>
    </row>
    <row r="156" spans="2:31">
      <c r="B156" s="279" t="s">
        <v>673</v>
      </c>
      <c r="D156" s="77"/>
      <c r="F156" s="77"/>
    </row>
    <row r="157" spans="2:31">
      <c r="B157" s="277" t="s">
        <v>674</v>
      </c>
      <c r="D157">
        <v>5000</v>
      </c>
      <c r="F157" s="77"/>
    </row>
    <row r="158" spans="2:31" ht="13.5" thickBot="1">
      <c r="B158" s="199" t="s">
        <v>197</v>
      </c>
      <c r="C158" s="266"/>
      <c r="D158" s="175">
        <f>SUM(D157)</f>
        <v>5000</v>
      </c>
      <c r="F158" s="77"/>
    </row>
    <row r="159" spans="2:31" ht="13.5" thickTop="1">
      <c r="D159" s="77"/>
      <c r="F159" s="77"/>
    </row>
    <row r="160" spans="2:31">
      <c r="D160" s="77"/>
      <c r="F160" s="77"/>
    </row>
    <row r="161" spans="2:6">
      <c r="B161" s="279" t="s">
        <v>745</v>
      </c>
      <c r="C161" s="82"/>
      <c r="D161" s="201"/>
      <c r="E161" s="65"/>
    </row>
    <row r="162" spans="2:6">
      <c r="B162" s="277" t="s">
        <v>675</v>
      </c>
      <c r="C162" s="82"/>
      <c r="D162" s="64">
        <v>-3060</v>
      </c>
      <c r="E162" s="64"/>
      <c r="F162" s="77"/>
    </row>
    <row r="163" spans="2:6">
      <c r="B163" s="277" t="s">
        <v>676</v>
      </c>
      <c r="C163" s="82"/>
      <c r="D163" s="64">
        <f>1159+6500</f>
        <v>7659</v>
      </c>
      <c r="E163" s="64"/>
      <c r="F163" s="77"/>
    </row>
    <row r="164" spans="2:6">
      <c r="B164" s="265" t="s">
        <v>628</v>
      </c>
      <c r="C164" s="82"/>
      <c r="D164" s="64"/>
      <c r="E164" s="64"/>
      <c r="F164" s="77"/>
    </row>
    <row r="165" spans="2:6">
      <c r="B165" s="265" t="s">
        <v>629</v>
      </c>
      <c r="C165" s="82"/>
      <c r="D165" s="64"/>
      <c r="E165" s="64"/>
      <c r="F165" s="77"/>
    </row>
    <row r="166" spans="2:6" ht="13.5" thickBot="1">
      <c r="B166" s="199" t="s">
        <v>197</v>
      </c>
      <c r="C166" s="200"/>
      <c r="D166" s="175">
        <f>SUM(D162:D165)</f>
        <v>4599</v>
      </c>
      <c r="F166" s="77"/>
    </row>
    <row r="167" spans="2:6" ht="13.5" thickTop="1">
      <c r="B167" s="34"/>
      <c r="C167" s="34"/>
      <c r="D167" s="77"/>
      <c r="F167" s="77"/>
    </row>
    <row r="168" spans="2:6">
      <c r="D168" s="77"/>
      <c r="F168" s="77"/>
    </row>
    <row r="169" spans="2:6">
      <c r="B169" s="279" t="s">
        <v>746</v>
      </c>
      <c r="D169" s="77"/>
    </row>
    <row r="170" spans="2:6">
      <c r="B170" s="265" t="s">
        <v>630</v>
      </c>
      <c r="D170" s="77"/>
    </row>
    <row r="171" spans="2:6">
      <c r="B171" s="278" t="s">
        <v>631</v>
      </c>
      <c r="C171" s="82"/>
      <c r="D171" s="64">
        <v>5603</v>
      </c>
    </row>
    <row r="172" spans="2:6">
      <c r="B172" s="277" t="s">
        <v>677</v>
      </c>
      <c r="C172" s="82"/>
      <c r="D172" s="64">
        <v>2055</v>
      </c>
    </row>
    <row r="173" spans="2:6" ht="13.5" thickBot="1">
      <c r="B173" s="199" t="s">
        <v>197</v>
      </c>
      <c r="C173" s="200"/>
      <c r="D173" s="175">
        <f>SUM(D170:D172)</f>
        <v>7658</v>
      </c>
    </row>
    <row r="174" spans="2:6" ht="13.5" thickTop="1">
      <c r="B174" s="265"/>
      <c r="D174" s="77"/>
    </row>
    <row r="175" spans="2:6">
      <c r="B175" s="265"/>
      <c r="D175" s="77"/>
    </row>
    <row r="176" spans="2:6">
      <c r="B176" s="279" t="s">
        <v>747</v>
      </c>
      <c r="D176" s="77"/>
    </row>
    <row r="177" spans="2:31">
      <c r="B177" s="277" t="s">
        <v>678</v>
      </c>
      <c r="D177" s="77">
        <v>12504</v>
      </c>
    </row>
    <row r="178" spans="2:31" ht="13.5" thickBot="1">
      <c r="B178" s="199" t="s">
        <v>197</v>
      </c>
      <c r="C178" s="200"/>
      <c r="D178" s="175">
        <f>SUM(D177:D177)</f>
        <v>12504</v>
      </c>
      <c r="F178" s="34"/>
      <c r="G178" s="82"/>
      <c r="H178" s="82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</row>
    <row r="179" spans="2:31" ht="13.5" thickTop="1">
      <c r="D179" s="77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</row>
    <row r="180" spans="2:31">
      <c r="D180" s="77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</row>
    <row r="181" spans="2:31">
      <c r="B181" s="279" t="s">
        <v>748</v>
      </c>
      <c r="D181" s="77"/>
    </row>
    <row r="182" spans="2:31">
      <c r="B182" s="277" t="s">
        <v>683</v>
      </c>
      <c r="D182" s="77">
        <v>8783</v>
      </c>
    </row>
    <row r="183" spans="2:31" ht="13.5" thickBot="1">
      <c r="B183" s="199" t="s">
        <v>197</v>
      </c>
      <c r="C183" s="200"/>
      <c r="D183" s="175">
        <f>SUM(D182:D182)</f>
        <v>8783</v>
      </c>
      <c r="F183" s="34"/>
      <c r="G183" s="82"/>
      <c r="H183" s="82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</row>
    <row r="184" spans="2:31" ht="13.5" thickTop="1"/>
    <row r="186" spans="2:31">
      <c r="B186" s="279" t="s">
        <v>749</v>
      </c>
      <c r="D186" s="77"/>
    </row>
    <row r="187" spans="2:31">
      <c r="B187" s="277" t="s">
        <v>679</v>
      </c>
      <c r="D187" s="77">
        <v>59</v>
      </c>
    </row>
    <row r="188" spans="2:31">
      <c r="B188" s="277" t="s">
        <v>680</v>
      </c>
      <c r="D188" s="77">
        <v>2629</v>
      </c>
    </row>
    <row r="189" spans="2:31" ht="13.5" thickBot="1">
      <c r="B189" s="199" t="s">
        <v>197</v>
      </c>
      <c r="C189" s="200"/>
      <c r="D189" s="175">
        <f>SUM(D187:D188)</f>
        <v>2688</v>
      </c>
      <c r="F189" s="34"/>
      <c r="G189" s="82"/>
      <c r="H189" s="82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</row>
    <row r="190" spans="2:31" ht="13.5" thickTop="1">
      <c r="D190" s="77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</row>
    <row r="191" spans="2:31">
      <c r="D191" s="77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</row>
    <row r="192" spans="2:31">
      <c r="B192" s="279" t="s">
        <v>681</v>
      </c>
    </row>
    <row r="193" spans="2:31">
      <c r="B193" t="s">
        <v>639</v>
      </c>
    </row>
    <row r="194" spans="2:31">
      <c r="B194" t="s">
        <v>640</v>
      </c>
    </row>
    <row r="195" spans="2:31">
      <c r="B195" s="277" t="s">
        <v>682</v>
      </c>
    </row>
    <row r="198" spans="2:31">
      <c r="B198" s="279" t="s">
        <v>701</v>
      </c>
    </row>
    <row r="199" spans="2:31">
      <c r="B199" t="s">
        <v>702</v>
      </c>
      <c r="D199" s="77">
        <v>958858.11</v>
      </c>
    </row>
    <row r="200" spans="2:31">
      <c r="B200" t="s">
        <v>704</v>
      </c>
      <c r="C200" s="283">
        <f>D200/D199</f>
        <v>0.73961099416471532</v>
      </c>
      <c r="D200" s="77">
        <v>709182</v>
      </c>
    </row>
    <row r="201" spans="2:31">
      <c r="B201" t="s">
        <v>705</v>
      </c>
      <c r="D201" s="94">
        <v>26401.24</v>
      </c>
    </row>
    <row r="202" spans="2:31">
      <c r="B202" t="s">
        <v>706</v>
      </c>
      <c r="D202" s="94">
        <f>D201*C200</f>
        <v>19526.647363581251</v>
      </c>
    </row>
    <row r="203" spans="2:31" ht="13.5" thickBot="1">
      <c r="B203" s="199" t="s">
        <v>691</v>
      </c>
      <c r="C203" s="199"/>
      <c r="D203" s="175">
        <f>D202*0.2</f>
        <v>3905.3294727162502</v>
      </c>
    </row>
    <row r="204" spans="2:31" ht="13.5" thickTop="1"/>
    <row r="206" spans="2:31">
      <c r="B206" s="279" t="s">
        <v>708</v>
      </c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spans="2:31">
      <c r="B207" s="79" t="s">
        <v>574</v>
      </c>
      <c r="D207" s="77">
        <v>950000</v>
      </c>
    </row>
    <row r="208" spans="2:31">
      <c r="B208" s="79" t="s">
        <v>575</v>
      </c>
    </row>
    <row r="209" spans="2:4">
      <c r="B209" s="79" t="s">
        <v>576</v>
      </c>
    </row>
    <row r="210" spans="2:4">
      <c r="B210" s="79" t="s">
        <v>577</v>
      </c>
    </row>
    <row r="212" spans="2:4">
      <c r="B212" s="79" t="s">
        <v>586</v>
      </c>
      <c r="D212" s="77">
        <v>112480</v>
      </c>
    </row>
    <row r="213" spans="2:4" s="254" customFormat="1">
      <c r="B213" s="79" t="s">
        <v>587</v>
      </c>
    </row>
    <row r="214" spans="2:4">
      <c r="B214" s="79" t="s">
        <v>578</v>
      </c>
    </row>
    <row r="216" spans="2:4">
      <c r="B216" s="79" t="s">
        <v>585</v>
      </c>
      <c r="D216" s="77">
        <v>5000</v>
      </c>
    </row>
    <row r="217" spans="2:4">
      <c r="B217" s="79" t="s">
        <v>579</v>
      </c>
    </row>
    <row r="218" spans="2:4">
      <c r="B218" s="79" t="s">
        <v>580</v>
      </c>
    </row>
    <row r="219" spans="2:4" ht="13.5" thickBot="1">
      <c r="B219" s="199" t="s">
        <v>197</v>
      </c>
      <c r="C219" s="255"/>
      <c r="D219" s="175">
        <v>1067480</v>
      </c>
    </row>
    <row r="220" spans="2:4" ht="13.5" thickTop="1">
      <c r="B220" s="256"/>
      <c r="D220" s="77"/>
    </row>
    <row r="222" spans="2:4">
      <c r="B222" s="279" t="s">
        <v>709</v>
      </c>
    </row>
    <row r="223" spans="2:4">
      <c r="B223" s="79" t="s">
        <v>690</v>
      </c>
      <c r="C223" s="37"/>
      <c r="D223" s="37">
        <v>534</v>
      </c>
    </row>
    <row r="224" spans="2:4" ht="13.5" thickBot="1">
      <c r="B224" s="270" t="s">
        <v>197</v>
      </c>
      <c r="C224" s="266"/>
      <c r="D224" s="286">
        <f>SUM(D223)</f>
        <v>534</v>
      </c>
    </row>
    <row r="225" spans="2:4" ht="13.5" thickTop="1"/>
    <row r="227" spans="2:4">
      <c r="B227" s="279" t="s">
        <v>710</v>
      </c>
    </row>
    <row r="228" spans="2:4">
      <c r="B228" s="277" t="s">
        <v>688</v>
      </c>
      <c r="D228" s="77">
        <v>1067480</v>
      </c>
    </row>
    <row r="229" spans="2:4">
      <c r="B229" s="277" t="s">
        <v>711</v>
      </c>
      <c r="D229" s="77">
        <f>D111</f>
        <v>709182</v>
      </c>
    </row>
    <row r="230" spans="2:4">
      <c r="B230" s="277" t="s">
        <v>712</v>
      </c>
      <c r="D230" s="77">
        <f>D112</f>
        <v>253979.07</v>
      </c>
    </row>
    <row r="231" spans="2:4" ht="13.5" thickBot="1">
      <c r="B231" s="199" t="s">
        <v>197</v>
      </c>
      <c r="C231" s="200"/>
      <c r="D231" s="175">
        <f>+D228+D229+D230</f>
        <v>2030641.07</v>
      </c>
    </row>
    <row r="232" spans="2:4" ht="13.5" thickTop="1"/>
    <row r="253" spans="2:4">
      <c r="D253" s="77"/>
    </row>
    <row r="254" spans="2:4">
      <c r="B254" s="177"/>
      <c r="D254" s="77"/>
    </row>
    <row r="255" spans="2:4">
      <c r="B255" s="34"/>
      <c r="D255" s="77"/>
    </row>
    <row r="256" spans="2:4">
      <c r="D256" s="77"/>
    </row>
    <row r="257" spans="4:4">
      <c r="D257" s="77"/>
    </row>
  </sheetData>
  <mergeCells count="67">
    <mergeCell ref="BN6:BO6"/>
    <mergeCell ref="BP6:BQ6"/>
    <mergeCell ref="AZ6:BA6"/>
    <mergeCell ref="BB6:BC6"/>
    <mergeCell ref="BD6:BE6"/>
    <mergeCell ref="BF6:BG6"/>
    <mergeCell ref="BH6:BI6"/>
    <mergeCell ref="BJ6:BK6"/>
    <mergeCell ref="AP6:AQ6"/>
    <mergeCell ref="AR6:AS6"/>
    <mergeCell ref="AT6:AU6"/>
    <mergeCell ref="AV6:AW6"/>
    <mergeCell ref="BL6:BM6"/>
    <mergeCell ref="P6:Q6"/>
    <mergeCell ref="R6:S6"/>
    <mergeCell ref="T6:U6"/>
    <mergeCell ref="V6:W6"/>
    <mergeCell ref="X6:Y6"/>
    <mergeCell ref="Z6:AA6"/>
    <mergeCell ref="BJ5:BK5"/>
    <mergeCell ref="BL5:BM5"/>
    <mergeCell ref="BN5:BO5"/>
    <mergeCell ref="BP5:BQ5"/>
    <mergeCell ref="BF5:BG5"/>
    <mergeCell ref="BH5:BI5"/>
    <mergeCell ref="AJ5:AK5"/>
    <mergeCell ref="AX6:AY6"/>
    <mergeCell ref="AB6:AC6"/>
    <mergeCell ref="AD6:AE6"/>
    <mergeCell ref="AF6:AG6"/>
    <mergeCell ref="AH6:AI6"/>
    <mergeCell ref="AJ6:AK6"/>
    <mergeCell ref="AL6:AM6"/>
    <mergeCell ref="AN6:AO6"/>
    <mergeCell ref="D6:E6"/>
    <mergeCell ref="F6:G6"/>
    <mergeCell ref="H6:I6"/>
    <mergeCell ref="J6:K6"/>
    <mergeCell ref="L6:M6"/>
    <mergeCell ref="N6:O6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X5:Y5"/>
    <mergeCell ref="A1:C1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8740157499999996" right="0.78740157499999996" top="1" bottom="1" header="0.5" footer="0.5"/>
  <pageSetup paperSize="9" orientation="portrait" r:id="rId1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23"/>
  <sheetViews>
    <sheetView workbookViewId="0">
      <pane xSplit="3" ySplit="8" topLeftCell="R9" activePane="bottomRight" state="frozen"/>
      <selection pane="topRight" activeCell="D1" sqref="D1"/>
      <selection pane="bottomLeft" activeCell="A9" sqref="A9"/>
      <selection pane="bottomRight" activeCell="G209" sqref="G209"/>
    </sheetView>
  </sheetViews>
  <sheetFormatPr baseColWidth="10" defaultColWidth="11.42578125" defaultRowHeight="12.75"/>
  <cols>
    <col min="1" max="1" width="10.140625" bestFit="1" customWidth="1"/>
    <col min="2" max="2" width="33.42578125" customWidth="1"/>
    <col min="3" max="3" width="7.85546875" customWidth="1"/>
    <col min="4" max="5" width="12.7109375" customWidth="1"/>
    <col min="6" max="6" width="16.7109375" bestFit="1" customWidth="1"/>
    <col min="7" max="8" width="12.7109375" customWidth="1"/>
    <col min="9" max="9" width="16.140625" bestFit="1" customWidth="1"/>
    <col min="10" max="71" width="12.7109375" customWidth="1"/>
  </cols>
  <sheetData>
    <row r="1" spans="1:256" s="37" customFormat="1" ht="21" thickBot="1">
      <c r="A1" s="572" t="s">
        <v>588</v>
      </c>
      <c r="B1" s="573"/>
      <c r="C1" s="574"/>
    </row>
    <row r="2" spans="1:256" s="37" customFormat="1">
      <c r="A2" s="240" t="s">
        <v>510</v>
      </c>
      <c r="B2" s="209"/>
      <c r="C2" s="209"/>
    </row>
    <row r="3" spans="1:256" s="37" customFormat="1">
      <c r="A3" s="241" t="s">
        <v>153</v>
      </c>
      <c r="B3" s="210"/>
      <c r="C3" s="210"/>
    </row>
    <row r="4" spans="1:256" s="37" customFormat="1" ht="13.5" thickBot="1">
      <c r="A4" s="242" t="s">
        <v>159</v>
      </c>
      <c r="B4" s="210"/>
      <c r="C4" s="210"/>
    </row>
    <row r="5" spans="1:256" s="208" customFormat="1">
      <c r="A5" s="228" t="s">
        <v>20</v>
      </c>
      <c r="B5" s="229" t="s">
        <v>0</v>
      </c>
      <c r="C5" s="230" t="s">
        <v>1</v>
      </c>
      <c r="D5" s="564" t="s">
        <v>330</v>
      </c>
      <c r="E5" s="564"/>
      <c r="F5" s="564" t="s">
        <v>619</v>
      </c>
      <c r="G5" s="564"/>
      <c r="H5" s="566" t="s">
        <v>328</v>
      </c>
      <c r="I5" s="566"/>
      <c r="J5" s="566" t="s">
        <v>333</v>
      </c>
      <c r="K5" s="566"/>
      <c r="L5" s="566" t="s">
        <v>477</v>
      </c>
      <c r="M5" s="566"/>
      <c r="N5" s="566" t="s">
        <v>163</v>
      </c>
      <c r="O5" s="566"/>
      <c r="P5" s="566" t="s">
        <v>94</v>
      </c>
      <c r="Q5" s="566"/>
      <c r="R5" s="566" t="s">
        <v>95</v>
      </c>
      <c r="S5" s="566"/>
      <c r="T5" s="566" t="s">
        <v>336</v>
      </c>
      <c r="U5" s="566"/>
      <c r="V5" s="567">
        <v>39585</v>
      </c>
      <c r="W5" s="566"/>
      <c r="X5" s="566" t="s">
        <v>338</v>
      </c>
      <c r="Y5" s="566"/>
      <c r="Z5" s="566" t="s">
        <v>468</v>
      </c>
      <c r="AA5" s="566"/>
      <c r="AB5" s="566" t="s">
        <v>458</v>
      </c>
      <c r="AC5" s="566"/>
      <c r="AD5" s="566" t="s">
        <v>386</v>
      </c>
      <c r="AE5" s="566"/>
      <c r="AF5" s="568" t="s">
        <v>6</v>
      </c>
      <c r="AG5" s="568"/>
      <c r="AH5" s="564" t="s">
        <v>607</v>
      </c>
      <c r="AI5" s="564"/>
      <c r="AJ5" s="568" t="s">
        <v>331</v>
      </c>
      <c r="AK5" s="568"/>
      <c r="AL5" s="568" t="s">
        <v>332</v>
      </c>
      <c r="AM5" s="568"/>
      <c r="AN5" s="568" t="s">
        <v>355</v>
      </c>
      <c r="AO5" s="568"/>
      <c r="AP5" s="564" t="s">
        <v>9</v>
      </c>
      <c r="AQ5" s="564"/>
      <c r="AR5" s="564" t="s">
        <v>468</v>
      </c>
      <c r="AS5" s="564"/>
      <c r="AT5" s="564" t="s">
        <v>520</v>
      </c>
      <c r="AU5" s="564"/>
      <c r="AV5" s="564" t="s">
        <v>518</v>
      </c>
      <c r="AW5" s="564"/>
      <c r="AX5" s="564" t="s">
        <v>516</v>
      </c>
      <c r="AY5" s="564"/>
      <c r="AZ5" s="564" t="s">
        <v>514</v>
      </c>
      <c r="BA5" s="564"/>
      <c r="BB5" s="564" t="s">
        <v>512</v>
      </c>
      <c r="BC5" s="564"/>
      <c r="BD5" s="564" t="s">
        <v>513</v>
      </c>
      <c r="BE5" s="564"/>
      <c r="BF5" s="564" t="s">
        <v>281</v>
      </c>
      <c r="BG5" s="564"/>
      <c r="BH5" s="564" t="s">
        <v>282</v>
      </c>
      <c r="BI5" s="564"/>
      <c r="BJ5" s="564" t="s">
        <v>282</v>
      </c>
      <c r="BK5" s="564"/>
      <c r="BL5" s="564" t="s">
        <v>423</v>
      </c>
      <c r="BM5" s="564"/>
      <c r="BN5" s="564" t="s">
        <v>30</v>
      </c>
      <c r="BO5" s="564"/>
      <c r="BP5" s="564" t="s">
        <v>32</v>
      </c>
      <c r="BQ5" s="564"/>
    </row>
    <row r="6" spans="1:256" s="208" customFormat="1">
      <c r="A6" s="231"/>
      <c r="B6" s="252"/>
      <c r="C6" s="227" t="s">
        <v>16</v>
      </c>
      <c r="D6" s="559"/>
      <c r="E6" s="559"/>
      <c r="F6" s="559" t="s">
        <v>249</v>
      </c>
      <c r="G6" s="559"/>
      <c r="H6" s="563" t="s">
        <v>329</v>
      </c>
      <c r="I6" s="563"/>
      <c r="J6" s="563" t="s">
        <v>334</v>
      </c>
      <c r="K6" s="563"/>
      <c r="L6" s="563"/>
      <c r="M6" s="563"/>
      <c r="N6" s="563"/>
      <c r="O6" s="563"/>
      <c r="P6" s="563" t="s">
        <v>335</v>
      </c>
      <c r="Q6" s="563"/>
      <c r="R6" s="563"/>
      <c r="S6" s="563"/>
      <c r="T6" s="563" t="s">
        <v>337</v>
      </c>
      <c r="U6" s="563"/>
      <c r="V6" s="563"/>
      <c r="W6" s="563"/>
      <c r="X6" s="563"/>
      <c r="Y6" s="563"/>
      <c r="Z6" s="563" t="s">
        <v>469</v>
      </c>
      <c r="AA6" s="563"/>
      <c r="AB6" s="563" t="s">
        <v>459</v>
      </c>
      <c r="AC6" s="563"/>
      <c r="AD6" s="563" t="s">
        <v>459</v>
      </c>
      <c r="AE6" s="563"/>
      <c r="AF6" s="562"/>
      <c r="AG6" s="562"/>
      <c r="AH6" s="559" t="s">
        <v>608</v>
      </c>
      <c r="AI6" s="559"/>
      <c r="AJ6" s="562" t="s">
        <v>617</v>
      </c>
      <c r="AK6" s="562"/>
      <c r="AL6" s="562" t="s">
        <v>327</v>
      </c>
      <c r="AM6" s="562"/>
      <c r="AN6" s="562"/>
      <c r="AO6" s="562"/>
      <c r="AP6" s="559" t="s">
        <v>521</v>
      </c>
      <c r="AQ6" s="559"/>
      <c r="AR6" s="559" t="s">
        <v>470</v>
      </c>
      <c r="AS6" s="559"/>
      <c r="AT6" s="559" t="s">
        <v>519</v>
      </c>
      <c r="AU6" s="559"/>
      <c r="AV6" s="559" t="s">
        <v>519</v>
      </c>
      <c r="AW6" s="559"/>
      <c r="AX6" s="559" t="s">
        <v>517</v>
      </c>
      <c r="AY6" s="559"/>
      <c r="AZ6" s="559" t="s">
        <v>515</v>
      </c>
      <c r="BA6" s="559"/>
      <c r="BB6" s="559" t="s">
        <v>511</v>
      </c>
      <c r="BC6" s="559"/>
      <c r="BD6" s="559"/>
      <c r="BE6" s="559"/>
      <c r="BF6" s="559"/>
      <c r="BG6" s="559"/>
      <c r="BH6" s="559" t="s">
        <v>284</v>
      </c>
      <c r="BI6" s="559"/>
      <c r="BJ6" s="559" t="s">
        <v>283</v>
      </c>
      <c r="BK6" s="559"/>
      <c r="BL6" s="559" t="s">
        <v>424</v>
      </c>
      <c r="BM6" s="559"/>
      <c r="BN6" s="559"/>
      <c r="BO6" s="559"/>
      <c r="BP6" s="559"/>
      <c r="BQ6" s="559"/>
    </row>
    <row r="7" spans="1:256" s="226" customFormat="1">
      <c r="A7" s="232"/>
      <c r="B7" s="222"/>
      <c r="C7" s="223"/>
      <c r="D7" s="224" t="s">
        <v>28</v>
      </c>
      <c r="E7" s="225" t="s">
        <v>29</v>
      </c>
      <c r="F7" s="224" t="s">
        <v>28</v>
      </c>
      <c r="G7" s="225" t="s">
        <v>29</v>
      </c>
      <c r="H7" s="224" t="s">
        <v>28</v>
      </c>
      <c r="I7" s="225" t="s">
        <v>29</v>
      </c>
      <c r="J7" s="224" t="s">
        <v>28</v>
      </c>
      <c r="K7" s="225" t="s">
        <v>29</v>
      </c>
      <c r="L7" s="224" t="s">
        <v>28</v>
      </c>
      <c r="M7" s="225" t="s">
        <v>29</v>
      </c>
      <c r="N7" s="224" t="s">
        <v>28</v>
      </c>
      <c r="O7" s="225" t="s">
        <v>29</v>
      </c>
      <c r="P7" s="224" t="s">
        <v>28</v>
      </c>
      <c r="Q7" s="225" t="s">
        <v>29</v>
      </c>
      <c r="R7" s="224" t="s">
        <v>28</v>
      </c>
      <c r="S7" s="225" t="s">
        <v>29</v>
      </c>
      <c r="T7" s="224" t="s">
        <v>28</v>
      </c>
      <c r="U7" s="225" t="s">
        <v>29</v>
      </c>
      <c r="V7" s="224" t="s">
        <v>28</v>
      </c>
      <c r="W7" s="225" t="s">
        <v>29</v>
      </c>
      <c r="X7" s="224" t="s">
        <v>28</v>
      </c>
      <c r="Y7" s="225" t="s">
        <v>29</v>
      </c>
      <c r="Z7" s="224" t="s">
        <v>28</v>
      </c>
      <c r="AA7" s="225" t="s">
        <v>29</v>
      </c>
      <c r="AB7" s="224" t="s">
        <v>28</v>
      </c>
      <c r="AC7" s="225" t="s">
        <v>29</v>
      </c>
      <c r="AD7" s="224" t="s">
        <v>28</v>
      </c>
      <c r="AE7" s="225" t="s">
        <v>29</v>
      </c>
      <c r="AF7" s="224" t="s">
        <v>28</v>
      </c>
      <c r="AG7" s="225" t="s">
        <v>29</v>
      </c>
      <c r="AH7" s="224" t="s">
        <v>28</v>
      </c>
      <c r="AI7" s="225" t="s">
        <v>29</v>
      </c>
      <c r="AJ7" s="224" t="s">
        <v>28</v>
      </c>
      <c r="AK7" s="225" t="s">
        <v>29</v>
      </c>
      <c r="AL7" s="224" t="s">
        <v>28</v>
      </c>
      <c r="AM7" s="225" t="s">
        <v>29</v>
      </c>
      <c r="AN7" s="224" t="s">
        <v>28</v>
      </c>
      <c r="AO7" s="225" t="s">
        <v>29</v>
      </c>
      <c r="AP7" s="224" t="s">
        <v>28</v>
      </c>
      <c r="AQ7" s="225" t="s">
        <v>29</v>
      </c>
      <c r="AR7" s="224" t="s">
        <v>28</v>
      </c>
      <c r="AS7" s="225" t="s">
        <v>29</v>
      </c>
      <c r="AT7" s="224" t="s">
        <v>28</v>
      </c>
      <c r="AU7" s="225" t="s">
        <v>29</v>
      </c>
      <c r="AV7" s="224" t="s">
        <v>28</v>
      </c>
      <c r="AW7" s="225" t="s">
        <v>29</v>
      </c>
      <c r="AX7" s="224" t="s">
        <v>28</v>
      </c>
      <c r="AY7" s="225" t="s">
        <v>29</v>
      </c>
      <c r="AZ7" s="224" t="s">
        <v>28</v>
      </c>
      <c r="BA7" s="225" t="s">
        <v>29</v>
      </c>
      <c r="BB7" s="224" t="s">
        <v>28</v>
      </c>
      <c r="BC7" s="225" t="s">
        <v>29</v>
      </c>
      <c r="BD7" s="224" t="s">
        <v>28</v>
      </c>
      <c r="BE7" s="225" t="s">
        <v>29</v>
      </c>
      <c r="BF7" s="224" t="s">
        <v>28</v>
      </c>
      <c r="BG7" s="225" t="s">
        <v>29</v>
      </c>
      <c r="BH7" s="224" t="s">
        <v>28</v>
      </c>
      <c r="BI7" s="225" t="s">
        <v>29</v>
      </c>
      <c r="BJ7" s="224" t="s">
        <v>28</v>
      </c>
      <c r="BK7" s="225" t="s">
        <v>29</v>
      </c>
      <c r="BL7" s="224" t="s">
        <v>28</v>
      </c>
      <c r="BM7" s="225" t="s">
        <v>29</v>
      </c>
      <c r="BN7" s="224" t="s">
        <v>28</v>
      </c>
      <c r="BO7" s="225" t="s">
        <v>29</v>
      </c>
      <c r="BP7" s="224" t="s">
        <v>28</v>
      </c>
      <c r="BQ7" s="225" t="s">
        <v>29</v>
      </c>
    </row>
    <row r="8" spans="1:256" s="34" customFormat="1">
      <c r="A8" s="247">
        <v>40544</v>
      </c>
      <c r="B8" s="248" t="s">
        <v>589</v>
      </c>
      <c r="C8" s="249"/>
      <c r="D8" s="250">
        <v>100</v>
      </c>
      <c r="E8" s="251"/>
      <c r="F8" s="250">
        <v>970765.85</v>
      </c>
      <c r="G8" s="251"/>
      <c r="H8" s="250"/>
      <c r="I8" s="251"/>
      <c r="J8" s="250"/>
      <c r="K8" s="251"/>
      <c r="L8" s="250"/>
      <c r="M8" s="251"/>
      <c r="N8" s="250"/>
      <c r="O8" s="251"/>
      <c r="P8" s="250"/>
      <c r="Q8" s="251"/>
      <c r="R8" s="250"/>
      <c r="S8" s="251"/>
      <c r="T8" s="250"/>
      <c r="U8" s="251"/>
      <c r="V8" s="250"/>
      <c r="W8" s="251"/>
      <c r="X8" s="250"/>
      <c r="Y8" s="251"/>
      <c r="Z8" s="250"/>
      <c r="AA8" s="251"/>
      <c r="AB8" s="250"/>
      <c r="AC8" s="251"/>
      <c r="AD8" s="250"/>
      <c r="AE8" s="251"/>
      <c r="AF8" s="250"/>
      <c r="AG8" s="251"/>
      <c r="AH8" s="250"/>
      <c r="AI8" s="251"/>
      <c r="AJ8" s="250"/>
      <c r="AK8" s="251"/>
      <c r="AL8" s="250"/>
      <c r="AM8" s="251"/>
      <c r="AN8" s="250"/>
      <c r="AO8" s="251"/>
      <c r="AP8" s="250">
        <v>0</v>
      </c>
      <c r="AQ8" s="251"/>
      <c r="AR8" s="250">
        <v>0</v>
      </c>
      <c r="AS8" s="251"/>
      <c r="AT8" s="250">
        <v>950000</v>
      </c>
      <c r="AU8" s="251"/>
      <c r="AV8" s="250">
        <v>112480</v>
      </c>
      <c r="AW8" s="251"/>
      <c r="AX8" s="250">
        <v>5000</v>
      </c>
      <c r="AY8" s="251"/>
      <c r="AZ8" s="250"/>
      <c r="BA8" s="251">
        <v>1067480</v>
      </c>
      <c r="BB8" s="250"/>
      <c r="BC8" s="251">
        <f>705024.61+2358</f>
        <v>707382.61</v>
      </c>
      <c r="BD8" s="250">
        <v>1638</v>
      </c>
      <c r="BE8" s="251">
        <v>255494.29199999999</v>
      </c>
      <c r="BF8" s="250">
        <v>0</v>
      </c>
      <c r="BG8" s="251"/>
      <c r="BH8" s="250">
        <v>0</v>
      </c>
      <c r="BI8" s="251"/>
      <c r="BJ8" s="250">
        <v>0</v>
      </c>
      <c r="BK8" s="251"/>
      <c r="BL8" s="250"/>
      <c r="BM8" s="251">
        <v>0</v>
      </c>
      <c r="BN8" s="250"/>
      <c r="BO8" s="251">
        <v>9626.9500000000007</v>
      </c>
      <c r="BP8" s="250">
        <v>0</v>
      </c>
      <c r="BQ8" s="251"/>
      <c r="BR8" s="243">
        <f t="shared" ref="BR8:BR77" si="0">D8-E8+F8-G8+H8-I8+J8-K8+L8-M8+N8-O8+P8-Q8+R8-S8+T8-U8+V8-W8+X8-Y8+Z8-AA8+AB8-AC8+AD8-AE8+AF8-AG8+AH8-AI8+AJ8-AK8+AL8-AM8+AN8-AO8+AP8-AQ8+AR8-AS8+AT8-AU8+AV8-AW8+AX8-AY8+AZ8-BA8+BB8-BC8+BD8-BE8+BF8-BG8+BH8-BI8+BJ8-BK8+BL8-BM8+BN8-BO8+BP8-BQ8</f>
        <v>-1.999999880354153E-3</v>
      </c>
      <c r="BS8" s="244"/>
      <c r="BT8" s="244"/>
    </row>
    <row r="9" spans="1:256" s="79" customFormat="1">
      <c r="A9" s="233"/>
      <c r="B9" s="257"/>
      <c r="C9" s="186"/>
      <c r="D9" s="212"/>
      <c r="E9" s="213"/>
      <c r="F9" s="212"/>
      <c r="G9" s="213"/>
      <c r="H9" s="212"/>
      <c r="I9" s="213"/>
      <c r="J9" s="212"/>
      <c r="K9" s="213"/>
      <c r="L9" s="212"/>
      <c r="M9" s="213"/>
      <c r="N9" s="212"/>
      <c r="O9" s="213"/>
      <c r="P9" s="212"/>
      <c r="Q9" s="213"/>
      <c r="R9" s="212"/>
      <c r="S9" s="213"/>
      <c r="T9" s="212"/>
      <c r="U9" s="213"/>
      <c r="V9" s="212"/>
      <c r="W9" s="213"/>
      <c r="X9" s="212"/>
      <c r="Y9" s="213"/>
      <c r="Z9" s="212"/>
      <c r="AA9" s="213"/>
      <c r="AB9" s="212"/>
      <c r="AC9" s="213"/>
      <c r="AD9" s="212"/>
      <c r="AE9" s="213"/>
      <c r="AF9" s="212"/>
      <c r="AG9" s="213"/>
      <c r="AH9" s="212"/>
      <c r="AI9" s="213"/>
      <c r="AJ9" s="212"/>
      <c r="AK9" s="213"/>
      <c r="AL9" s="212"/>
      <c r="AM9" s="213"/>
      <c r="AN9" s="212"/>
      <c r="AO9" s="213"/>
      <c r="AP9" s="212"/>
      <c r="AQ9" s="213"/>
      <c r="AR9" s="212"/>
      <c r="AS9" s="213"/>
      <c r="AT9" s="212"/>
      <c r="AU9" s="213"/>
      <c r="AV9" s="212"/>
      <c r="AW9" s="213"/>
      <c r="AX9" s="212"/>
      <c r="AY9" s="213"/>
      <c r="AZ9" s="212"/>
      <c r="BA9" s="213"/>
      <c r="BB9" s="212"/>
      <c r="BC9" s="213"/>
      <c r="BD9" s="212"/>
      <c r="BE9" s="213"/>
      <c r="BF9" s="212"/>
      <c r="BG9" s="213"/>
      <c r="BH9" s="212"/>
      <c r="BI9" s="213"/>
      <c r="BJ9" s="212"/>
      <c r="BK9" s="213"/>
      <c r="BL9" s="212"/>
      <c r="BM9" s="213"/>
      <c r="BN9" s="212"/>
      <c r="BO9" s="213"/>
      <c r="BP9" s="212"/>
      <c r="BQ9" s="213"/>
      <c r="BR9" s="193">
        <f t="shared" si="0"/>
        <v>0</v>
      </c>
      <c r="BS9" s="194"/>
      <c r="BT9" s="194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79" customFormat="1">
      <c r="A10" s="260">
        <v>40604</v>
      </c>
      <c r="B10" s="257" t="s">
        <v>590</v>
      </c>
      <c r="C10" s="186">
        <v>1</v>
      </c>
      <c r="D10" s="212"/>
      <c r="E10" s="213"/>
      <c r="F10" s="258" t="s">
        <v>359</v>
      </c>
      <c r="G10" s="213">
        <v>6100</v>
      </c>
      <c r="H10" s="212"/>
      <c r="I10" s="213"/>
      <c r="J10" s="212"/>
      <c r="K10" s="213"/>
      <c r="L10" s="212">
        <v>6100</v>
      </c>
      <c r="M10" s="213"/>
      <c r="N10" s="212"/>
      <c r="O10" s="213"/>
      <c r="P10" s="212"/>
      <c r="Q10" s="213"/>
      <c r="R10" s="212"/>
      <c r="S10" s="213"/>
      <c r="T10" s="212"/>
      <c r="U10" s="213"/>
      <c r="V10" s="212"/>
      <c r="W10" s="213"/>
      <c r="X10" s="212"/>
      <c r="Y10" s="213"/>
      <c r="Z10" s="212"/>
      <c r="AA10" s="213"/>
      <c r="AB10" s="212"/>
      <c r="AC10" s="213"/>
      <c r="AD10" s="212"/>
      <c r="AE10" s="213"/>
      <c r="AF10" s="212"/>
      <c r="AG10" s="213"/>
      <c r="AH10" s="212"/>
      <c r="AI10" s="213"/>
      <c r="AJ10" s="212"/>
      <c r="AK10" s="213"/>
      <c r="AL10" s="212"/>
      <c r="AM10" s="213"/>
      <c r="AN10" s="212"/>
      <c r="AO10" s="213"/>
      <c r="AP10" s="212"/>
      <c r="AQ10" s="213"/>
      <c r="AR10" s="212"/>
      <c r="AS10" s="213"/>
      <c r="AT10" s="212"/>
      <c r="AU10" s="213"/>
      <c r="AV10" s="212"/>
      <c r="AW10" s="213"/>
      <c r="AX10" s="212"/>
      <c r="AY10" s="213"/>
      <c r="AZ10" s="212"/>
      <c r="BA10" s="213"/>
      <c r="BB10" s="212"/>
      <c r="BC10" s="213"/>
      <c r="BD10" s="212"/>
      <c r="BE10" s="213"/>
      <c r="BF10" s="212"/>
      <c r="BG10" s="213"/>
      <c r="BH10" s="212"/>
      <c r="BI10" s="213"/>
      <c r="BJ10" s="212"/>
      <c r="BK10" s="213"/>
      <c r="BL10" s="212"/>
      <c r="BM10" s="213"/>
      <c r="BN10" s="212"/>
      <c r="BO10" s="213"/>
      <c r="BP10" s="212"/>
      <c r="BQ10" s="213"/>
      <c r="BR10" s="193" t="e">
        <f t="shared" si="0"/>
        <v>#VALUE!</v>
      </c>
      <c r="BS10" s="194"/>
      <c r="BT10" s="194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79" customFormat="1">
      <c r="A11" s="261">
        <v>40606</v>
      </c>
      <c r="B11" s="257" t="s">
        <v>591</v>
      </c>
      <c r="C11" s="211">
        <v>2</v>
      </c>
      <c r="D11" s="214"/>
      <c r="E11" s="215"/>
      <c r="F11" s="214">
        <v>200</v>
      </c>
      <c r="G11" s="215"/>
      <c r="H11" s="214"/>
      <c r="I11" s="215"/>
      <c r="J11" s="214"/>
      <c r="K11" s="215"/>
      <c r="L11" s="214"/>
      <c r="M11" s="215"/>
      <c r="N11" s="214"/>
      <c r="O11" s="215"/>
      <c r="P11" s="214"/>
      <c r="Q11" s="215"/>
      <c r="R11" s="214"/>
      <c r="S11" s="215"/>
      <c r="T11" s="214"/>
      <c r="U11" s="215"/>
      <c r="V11" s="214"/>
      <c r="W11" s="215"/>
      <c r="X11" s="214"/>
      <c r="Y11" s="215"/>
      <c r="Z11" s="214"/>
      <c r="AA11" s="215"/>
      <c r="AB11" s="214"/>
      <c r="AC11" s="215"/>
      <c r="AD11" s="214"/>
      <c r="AE11" s="215"/>
      <c r="AF11" s="214"/>
      <c r="AG11" s="215">
        <v>200</v>
      </c>
      <c r="AH11" s="214"/>
      <c r="AI11" s="215"/>
      <c r="AJ11" s="214"/>
      <c r="AK11" s="215"/>
      <c r="AL11" s="214"/>
      <c r="AM11" s="215"/>
      <c r="AN11" s="214"/>
      <c r="AO11" s="215"/>
      <c r="AP11" s="214"/>
      <c r="AQ11" s="215"/>
      <c r="AR11" s="214"/>
      <c r="AS11" s="215"/>
      <c r="AT11" s="214"/>
      <c r="AU11" s="215"/>
      <c r="AV11" s="214"/>
      <c r="AW11" s="215"/>
      <c r="AX11" s="214"/>
      <c r="AY11" s="215"/>
      <c r="AZ11" s="214"/>
      <c r="BA11" s="215"/>
      <c r="BB11" s="214"/>
      <c r="BC11" s="215"/>
      <c r="BD11" s="214"/>
      <c r="BE11" s="215"/>
      <c r="BF11" s="214"/>
      <c r="BG11" s="215"/>
      <c r="BH11" s="214"/>
      <c r="BI11" s="215"/>
      <c r="BJ11" s="214"/>
      <c r="BK11" s="215"/>
      <c r="BL11" s="214"/>
      <c r="BM11" s="215"/>
      <c r="BN11" s="214"/>
      <c r="BO11" s="215"/>
      <c r="BP11" s="214"/>
      <c r="BQ11" s="215"/>
      <c r="BR11" s="193">
        <f t="shared" si="0"/>
        <v>0</v>
      </c>
      <c r="BS11" s="194"/>
      <c r="BT11" s="194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79" customFormat="1">
      <c r="A12" s="233">
        <v>40616</v>
      </c>
      <c r="B12" s="257" t="s">
        <v>591</v>
      </c>
      <c r="C12" s="186">
        <v>3</v>
      </c>
      <c r="D12" s="212"/>
      <c r="E12" s="213"/>
      <c r="F12" s="212">
        <v>200</v>
      </c>
      <c r="G12" s="259" t="s">
        <v>359</v>
      </c>
      <c r="H12" s="212"/>
      <c r="I12" s="213"/>
      <c r="J12" s="212"/>
      <c r="K12" s="213"/>
      <c r="L12" s="212"/>
      <c r="M12" s="21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  <c r="Z12" s="212"/>
      <c r="AA12" s="213"/>
      <c r="AB12" s="212"/>
      <c r="AC12" s="213"/>
      <c r="AD12" s="212"/>
      <c r="AE12" s="213"/>
      <c r="AF12" s="212"/>
      <c r="AG12" s="213">
        <v>200</v>
      </c>
      <c r="AH12" s="212"/>
      <c r="AI12" s="213"/>
      <c r="AJ12" s="212"/>
      <c r="AK12" s="213"/>
      <c r="AL12" s="212"/>
      <c r="AM12" s="213"/>
      <c r="AN12" s="212"/>
      <c r="AO12" s="213"/>
      <c r="AP12" s="212"/>
      <c r="AQ12" s="213"/>
      <c r="AR12" s="212"/>
      <c r="AS12" s="213"/>
      <c r="AT12" s="212"/>
      <c r="AU12" s="213"/>
      <c r="AV12" s="212"/>
      <c r="AW12" s="213"/>
      <c r="AX12" s="212"/>
      <c r="AY12" s="213"/>
      <c r="AZ12" s="212"/>
      <c r="BA12" s="213"/>
      <c r="BB12" s="212"/>
      <c r="BC12" s="213"/>
      <c r="BD12" s="212"/>
      <c r="BE12" s="213"/>
      <c r="BF12" s="212"/>
      <c r="BG12" s="213"/>
      <c r="BH12" s="212"/>
      <c r="BI12" s="213"/>
      <c r="BJ12" s="212"/>
      <c r="BK12" s="213"/>
      <c r="BL12" s="212"/>
      <c r="BM12" s="213"/>
      <c r="BN12" s="212"/>
      <c r="BO12" s="213"/>
      <c r="BP12" s="212"/>
      <c r="BQ12" s="213"/>
      <c r="BR12" s="193" t="e">
        <f t="shared" si="0"/>
        <v>#VALUE!</v>
      </c>
      <c r="BS12" s="194"/>
      <c r="BT12" s="194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79" customFormat="1">
      <c r="A13" s="233">
        <v>40630</v>
      </c>
      <c r="B13" s="257" t="s">
        <v>592</v>
      </c>
      <c r="C13" s="253">
        <v>4</v>
      </c>
      <c r="D13" s="212"/>
      <c r="E13" s="213"/>
      <c r="F13" s="212"/>
      <c r="G13" s="213">
        <v>4176.95</v>
      </c>
      <c r="H13" s="212"/>
      <c r="I13" s="213"/>
      <c r="J13" s="212"/>
      <c r="K13" s="213"/>
      <c r="L13" s="212"/>
      <c r="M13" s="213"/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  <c r="Z13" s="212"/>
      <c r="AA13" s="213"/>
      <c r="AB13" s="212"/>
      <c r="AC13" s="213"/>
      <c r="AD13" s="212"/>
      <c r="AE13" s="213"/>
      <c r="AF13" s="212"/>
      <c r="AG13" s="213"/>
      <c r="AH13" s="212"/>
      <c r="AI13" s="213"/>
      <c r="AJ13" s="212"/>
      <c r="AK13" s="213"/>
      <c r="AL13" s="212"/>
      <c r="AM13" s="213"/>
      <c r="AN13" s="212"/>
      <c r="AO13" s="213"/>
      <c r="AP13" s="212"/>
      <c r="AQ13" s="213"/>
      <c r="AR13" s="212"/>
      <c r="AS13" s="213"/>
      <c r="AT13" s="212"/>
      <c r="AU13" s="213"/>
      <c r="AV13" s="212"/>
      <c r="AW13" s="213"/>
      <c r="AX13" s="212"/>
      <c r="AY13" s="213"/>
      <c r="AZ13" s="212"/>
      <c r="BA13" s="213"/>
      <c r="BB13" s="212"/>
      <c r="BC13" s="213"/>
      <c r="BD13" s="212"/>
      <c r="BE13" s="213"/>
      <c r="BF13" s="212"/>
      <c r="BG13" s="213"/>
      <c r="BH13" s="212"/>
      <c r="BI13" s="213"/>
      <c r="BJ13" s="212"/>
      <c r="BK13" s="213"/>
      <c r="BL13" s="212"/>
      <c r="BM13" s="213"/>
      <c r="BN13" s="212">
        <v>4176.95</v>
      </c>
      <c r="BO13" s="213"/>
      <c r="BP13" s="212"/>
      <c r="BQ13" s="213"/>
      <c r="BR13" s="193">
        <f t="shared" si="0"/>
        <v>0</v>
      </c>
      <c r="BS13" s="194"/>
      <c r="BT13" s="194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185" customFormat="1">
      <c r="A14" s="233">
        <v>40633</v>
      </c>
      <c r="B14" s="262" t="s">
        <v>268</v>
      </c>
      <c r="C14" s="186">
        <v>5</v>
      </c>
      <c r="D14" s="212"/>
      <c r="E14" s="213"/>
      <c r="F14" s="212"/>
      <c r="G14" s="213">
        <v>4</v>
      </c>
      <c r="H14" s="212"/>
      <c r="I14" s="213"/>
      <c r="J14" s="212"/>
      <c r="K14" s="213"/>
      <c r="L14" s="212"/>
      <c r="M14" s="213"/>
      <c r="N14" s="212"/>
      <c r="O14" s="213"/>
      <c r="P14" s="212"/>
      <c r="Q14" s="213"/>
      <c r="R14" s="212"/>
      <c r="S14" s="213"/>
      <c r="T14" s="212">
        <v>4</v>
      </c>
      <c r="U14" s="213"/>
      <c r="V14" s="212"/>
      <c r="W14" s="213"/>
      <c r="X14" s="212"/>
      <c r="Y14" s="213"/>
      <c r="Z14" s="212"/>
      <c r="AA14" s="213"/>
      <c r="AB14" s="212"/>
      <c r="AC14" s="213"/>
      <c r="AD14" s="212"/>
      <c r="AE14" s="213"/>
      <c r="AF14" s="212"/>
      <c r="AG14" s="213"/>
      <c r="AH14" s="212"/>
      <c r="AI14" s="213"/>
      <c r="AJ14" s="212"/>
      <c r="AK14" s="213"/>
      <c r="AL14" s="212"/>
      <c r="AM14" s="213"/>
      <c r="AN14" s="212"/>
      <c r="AO14" s="213"/>
      <c r="AP14" s="212"/>
      <c r="AQ14" s="213"/>
      <c r="AR14" s="212"/>
      <c r="AS14" s="213"/>
      <c r="AT14" s="212"/>
      <c r="AU14" s="213"/>
      <c r="AV14" s="212"/>
      <c r="AW14" s="213"/>
      <c r="AX14" s="212"/>
      <c r="AY14" s="213"/>
      <c r="AZ14" s="212"/>
      <c r="BA14" s="213"/>
      <c r="BB14" s="212"/>
      <c r="BC14" s="213"/>
      <c r="BD14" s="212"/>
      <c r="BE14" s="213"/>
      <c r="BF14" s="212"/>
      <c r="BG14" s="213"/>
      <c r="BH14" s="212"/>
      <c r="BI14" s="213"/>
      <c r="BJ14" s="212"/>
      <c r="BK14" s="213"/>
      <c r="BL14" s="212"/>
      <c r="BM14" s="213"/>
      <c r="BN14" s="212"/>
      <c r="BO14" s="213"/>
      <c r="BP14" s="212"/>
      <c r="BQ14" s="213"/>
      <c r="BR14" s="193">
        <f t="shared" si="0"/>
        <v>0</v>
      </c>
      <c r="BS14" s="194"/>
      <c r="BT14" s="194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79" customFormat="1">
      <c r="A15" s="233">
        <v>40634</v>
      </c>
      <c r="B15" s="257" t="s">
        <v>593</v>
      </c>
      <c r="C15" s="186">
        <v>6</v>
      </c>
      <c r="D15" s="212"/>
      <c r="E15" s="213"/>
      <c r="F15" s="212"/>
      <c r="G15" s="213">
        <v>1580</v>
      </c>
      <c r="H15" s="212"/>
      <c r="I15" s="213"/>
      <c r="J15" s="212"/>
      <c r="K15" s="213"/>
      <c r="L15" s="212"/>
      <c r="M15" s="213"/>
      <c r="N15" s="212"/>
      <c r="O15" s="213"/>
      <c r="P15" s="212"/>
      <c r="Q15" s="213"/>
      <c r="R15" s="212">
        <v>1580</v>
      </c>
      <c r="S15" s="213"/>
      <c r="T15" s="212"/>
      <c r="U15" s="213"/>
      <c r="V15" s="212"/>
      <c r="W15" s="213"/>
      <c r="X15" s="212"/>
      <c r="Y15" s="213"/>
      <c r="Z15" s="212"/>
      <c r="AA15" s="213"/>
      <c r="AB15" s="212"/>
      <c r="AC15" s="213"/>
      <c r="AD15" s="212"/>
      <c r="AE15" s="213"/>
      <c r="AF15" s="212"/>
      <c r="AG15" s="213"/>
      <c r="AH15" s="212"/>
      <c r="AI15" s="213"/>
      <c r="AJ15" s="212"/>
      <c r="AK15" s="213"/>
      <c r="AL15" s="212"/>
      <c r="AM15" s="213"/>
      <c r="AN15" s="212"/>
      <c r="AO15" s="213"/>
      <c r="AP15" s="212"/>
      <c r="AQ15" s="213"/>
      <c r="AR15" s="212"/>
      <c r="AS15" s="213"/>
      <c r="AT15" s="212"/>
      <c r="AU15" s="213"/>
      <c r="AV15" s="212"/>
      <c r="AW15" s="213"/>
      <c r="AX15" s="212"/>
      <c r="AY15" s="213"/>
      <c r="AZ15" s="212"/>
      <c r="BA15" s="213"/>
      <c r="BB15" s="212"/>
      <c r="BC15" s="213"/>
      <c r="BD15" s="212"/>
      <c r="BE15" s="213"/>
      <c r="BF15" s="212"/>
      <c r="BG15" s="213"/>
      <c r="BH15" s="212"/>
      <c r="BI15" s="213"/>
      <c r="BJ15" s="212"/>
      <c r="BK15" s="213"/>
      <c r="BL15" s="212"/>
      <c r="BM15" s="213"/>
      <c r="BN15" s="212"/>
      <c r="BO15" s="213"/>
      <c r="BP15" s="212"/>
      <c r="BQ15" s="213"/>
      <c r="BR15" s="193">
        <f t="shared" si="0"/>
        <v>0</v>
      </c>
      <c r="BS15" s="194"/>
      <c r="BT15" s="194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79" customFormat="1">
      <c r="A16" s="233">
        <v>40644</v>
      </c>
      <c r="B16" s="257" t="s">
        <v>594</v>
      </c>
      <c r="C16" s="186">
        <v>7</v>
      </c>
      <c r="D16" s="212"/>
      <c r="E16" s="213"/>
      <c r="F16" s="212">
        <v>1869</v>
      </c>
      <c r="G16" s="213"/>
      <c r="H16" s="212"/>
      <c r="I16" s="213"/>
      <c r="J16" s="212"/>
      <c r="K16" s="213"/>
      <c r="L16" s="212"/>
      <c r="M16" s="213">
        <v>1869</v>
      </c>
      <c r="N16" s="212"/>
      <c r="O16" s="213"/>
      <c r="P16" s="212"/>
      <c r="Q16" s="213"/>
      <c r="R16" s="212"/>
      <c r="S16" s="213"/>
      <c r="T16" s="212"/>
      <c r="U16" s="213"/>
      <c r="V16" s="212"/>
      <c r="W16" s="213"/>
      <c r="X16" s="212"/>
      <c r="Y16" s="213"/>
      <c r="Z16" s="212"/>
      <c r="AA16" s="213"/>
      <c r="AB16" s="212"/>
      <c r="AC16" s="213"/>
      <c r="AD16" s="212"/>
      <c r="AE16" s="213"/>
      <c r="AF16" s="212"/>
      <c r="AG16" s="213"/>
      <c r="AH16" s="212"/>
      <c r="AI16" s="213"/>
      <c r="AJ16" s="212"/>
      <c r="AK16" s="213"/>
      <c r="AL16" s="212"/>
      <c r="AM16" s="213"/>
      <c r="AN16" s="212"/>
      <c r="AO16" s="213"/>
      <c r="AP16" s="212"/>
      <c r="AQ16" s="213"/>
      <c r="AR16" s="212"/>
      <c r="AS16" s="213"/>
      <c r="AT16" s="212"/>
      <c r="AU16" s="213"/>
      <c r="AV16" s="212"/>
      <c r="AW16" s="213"/>
      <c r="AX16" s="212"/>
      <c r="AY16" s="213"/>
      <c r="AZ16" s="212"/>
      <c r="BA16" s="213"/>
      <c r="BB16" s="212"/>
      <c r="BC16" s="213"/>
      <c r="BD16" s="212"/>
      <c r="BE16" s="213"/>
      <c r="BF16" s="212"/>
      <c r="BG16" s="213"/>
      <c r="BH16" s="212"/>
      <c r="BI16" s="213"/>
      <c r="BJ16" s="212"/>
      <c r="BK16" s="213"/>
      <c r="BL16" s="212"/>
      <c r="BM16" s="213"/>
      <c r="BN16" s="212"/>
      <c r="BO16" s="213"/>
      <c r="BP16" s="212"/>
      <c r="BQ16" s="213"/>
      <c r="BR16" s="193">
        <f t="shared" si="0"/>
        <v>0</v>
      </c>
      <c r="BS16" s="194"/>
      <c r="BT16" s="194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185" customFormat="1">
      <c r="A17" s="233">
        <v>40644</v>
      </c>
      <c r="B17" s="262" t="s">
        <v>595</v>
      </c>
      <c r="C17" s="186">
        <v>8</v>
      </c>
      <c r="D17" s="212"/>
      <c r="E17" s="213">
        <v>100</v>
      </c>
      <c r="F17" s="212">
        <v>100</v>
      </c>
      <c r="G17" s="213"/>
      <c r="H17" s="212"/>
      <c r="I17" s="213"/>
      <c r="J17" s="212"/>
      <c r="K17" s="213"/>
      <c r="L17" s="212"/>
      <c r="M17" s="213"/>
      <c r="N17" s="212"/>
      <c r="O17" s="213"/>
      <c r="P17" s="212"/>
      <c r="Q17" s="213"/>
      <c r="R17" s="212"/>
      <c r="S17" s="213"/>
      <c r="T17" s="212"/>
      <c r="U17" s="213"/>
      <c r="V17" s="212"/>
      <c r="W17" s="213"/>
      <c r="X17" s="212"/>
      <c r="Y17" s="213"/>
      <c r="Z17" s="212"/>
      <c r="AA17" s="213"/>
      <c r="AB17" s="212"/>
      <c r="AC17" s="213"/>
      <c r="AD17" s="212"/>
      <c r="AE17" s="213"/>
      <c r="AF17" s="212"/>
      <c r="AG17" s="213"/>
      <c r="AH17" s="212"/>
      <c r="AI17" s="213"/>
      <c r="AJ17" s="212"/>
      <c r="AK17" s="213"/>
      <c r="AL17" s="212"/>
      <c r="AM17" s="213"/>
      <c r="AN17" s="212"/>
      <c r="AO17" s="213"/>
      <c r="AP17" s="212"/>
      <c r="AQ17" s="213"/>
      <c r="AR17" s="212"/>
      <c r="AS17" s="213"/>
      <c r="AT17" s="212"/>
      <c r="AU17" s="213"/>
      <c r="AV17" s="212"/>
      <c r="AW17" s="213"/>
      <c r="AX17" s="212"/>
      <c r="AY17" s="213"/>
      <c r="AZ17" s="212"/>
      <c r="BA17" s="213"/>
      <c r="BB17" s="212"/>
      <c r="BC17" s="213"/>
      <c r="BD17" s="212"/>
      <c r="BE17" s="213"/>
      <c r="BF17" s="212"/>
      <c r="BG17" s="213"/>
      <c r="BH17" s="212"/>
      <c r="BI17" s="213"/>
      <c r="BJ17" s="212"/>
      <c r="BK17" s="213"/>
      <c r="BL17" s="212"/>
      <c r="BM17" s="213"/>
      <c r="BN17" s="212"/>
      <c r="BO17" s="213"/>
      <c r="BP17" s="212"/>
      <c r="BQ17" s="213"/>
      <c r="BR17" s="193">
        <f t="shared" si="0"/>
        <v>0</v>
      </c>
      <c r="BS17" s="194"/>
      <c r="BT17" s="194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79" customFormat="1">
      <c r="A18" s="233">
        <v>40652</v>
      </c>
      <c r="B18" s="257" t="s">
        <v>268</v>
      </c>
      <c r="C18" s="211">
        <v>9</v>
      </c>
      <c r="D18" s="214"/>
      <c r="E18" s="215"/>
      <c r="F18" s="214"/>
      <c r="G18" s="215">
        <v>2</v>
      </c>
      <c r="H18" s="214"/>
      <c r="I18" s="215"/>
      <c r="J18" s="214"/>
      <c r="K18" s="215"/>
      <c r="L18" s="214"/>
      <c r="M18" s="215"/>
      <c r="N18" s="214"/>
      <c r="O18" s="215"/>
      <c r="P18" s="214"/>
      <c r="Q18" s="215"/>
      <c r="R18" s="214"/>
      <c r="S18" s="215"/>
      <c r="T18" s="214">
        <v>2</v>
      </c>
      <c r="U18" s="215"/>
      <c r="V18" s="214"/>
      <c r="W18" s="215"/>
      <c r="X18" s="214"/>
      <c r="Y18" s="215"/>
      <c r="Z18" s="214"/>
      <c r="AA18" s="215"/>
      <c r="AB18" s="214"/>
      <c r="AC18" s="215"/>
      <c r="AD18" s="214"/>
      <c r="AE18" s="215"/>
      <c r="AF18" s="214"/>
      <c r="AG18" s="215"/>
      <c r="AH18" s="214"/>
      <c r="AI18" s="215"/>
      <c r="AJ18" s="214"/>
      <c r="AK18" s="215"/>
      <c r="AL18" s="214"/>
      <c r="AM18" s="215"/>
      <c r="AN18" s="214"/>
      <c r="AO18" s="215"/>
      <c r="AP18" s="214"/>
      <c r="AQ18" s="215"/>
      <c r="AR18" s="214"/>
      <c r="AS18" s="215"/>
      <c r="AT18" s="214"/>
      <c r="AU18" s="215"/>
      <c r="AV18" s="214"/>
      <c r="AW18" s="215"/>
      <c r="AX18" s="214"/>
      <c r="AY18" s="215"/>
      <c r="AZ18" s="214"/>
      <c r="BA18" s="215"/>
      <c r="BB18" s="214"/>
      <c r="BC18" s="215"/>
      <c r="BD18" s="214"/>
      <c r="BE18" s="215"/>
      <c r="BF18" s="214"/>
      <c r="BG18" s="215"/>
      <c r="BH18" s="214"/>
      <c r="BI18" s="215"/>
      <c r="BJ18" s="214"/>
      <c r="BK18" s="215"/>
      <c r="BL18" s="214"/>
      <c r="BM18" s="215"/>
      <c r="BN18" s="214"/>
      <c r="BO18" s="215"/>
      <c r="BP18" s="214"/>
      <c r="BQ18" s="215"/>
      <c r="BR18" s="193">
        <f t="shared" si="0"/>
        <v>0</v>
      </c>
      <c r="BS18" s="194"/>
      <c r="BT18" s="194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79" customFormat="1">
      <c r="A19" s="234">
        <v>40673</v>
      </c>
      <c r="B19" s="257" t="s">
        <v>596</v>
      </c>
      <c r="C19" s="211">
        <v>10</v>
      </c>
      <c r="D19" s="214"/>
      <c r="E19" s="215"/>
      <c r="F19" s="214">
        <v>1800</v>
      </c>
      <c r="G19" s="215"/>
      <c r="H19" s="214"/>
      <c r="I19" s="215"/>
      <c r="J19" s="214"/>
      <c r="K19" s="215"/>
      <c r="L19" s="214"/>
      <c r="M19" s="215"/>
      <c r="N19" s="214"/>
      <c r="O19" s="215"/>
      <c r="P19" s="214"/>
      <c r="Q19" s="215"/>
      <c r="R19" s="214"/>
      <c r="S19" s="215"/>
      <c r="T19" s="214"/>
      <c r="U19" s="215"/>
      <c r="V19" s="214"/>
      <c r="W19" s="215"/>
      <c r="X19" s="214"/>
      <c r="Y19" s="215"/>
      <c r="Z19" s="214"/>
      <c r="AA19" s="215"/>
      <c r="AB19" s="214"/>
      <c r="AC19" s="215"/>
      <c r="AD19" s="214"/>
      <c r="AE19" s="215"/>
      <c r="AF19" s="214"/>
      <c r="AG19" s="215">
        <v>1800</v>
      </c>
      <c r="AH19" s="214"/>
      <c r="AI19" s="215"/>
      <c r="AJ19" s="214"/>
      <c r="AK19" s="215"/>
      <c r="AL19" s="214"/>
      <c r="AM19" s="215"/>
      <c r="AN19" s="214"/>
      <c r="AO19" s="215"/>
      <c r="AP19" s="214"/>
      <c r="AQ19" s="215"/>
      <c r="AR19" s="214"/>
      <c r="AS19" s="215"/>
      <c r="AT19" s="214"/>
      <c r="AU19" s="215"/>
      <c r="AV19" s="214"/>
      <c r="AW19" s="215"/>
      <c r="AX19" s="214"/>
      <c r="AY19" s="215"/>
      <c r="AZ19" s="214"/>
      <c r="BA19" s="215"/>
      <c r="BB19" s="214"/>
      <c r="BC19" s="215"/>
      <c r="BD19" s="214"/>
      <c r="BE19" s="215"/>
      <c r="BF19" s="214"/>
      <c r="BG19" s="215"/>
      <c r="BH19" s="214"/>
      <c r="BI19" s="215"/>
      <c r="BJ19" s="214"/>
      <c r="BK19" s="215"/>
      <c r="BL19" s="214"/>
      <c r="BM19" s="215"/>
      <c r="BN19" s="214"/>
      <c r="BO19" s="215"/>
      <c r="BP19" s="214"/>
      <c r="BQ19" s="215"/>
      <c r="BR19" s="193">
        <f t="shared" si="0"/>
        <v>0</v>
      </c>
      <c r="BS19" s="70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79" customFormat="1">
      <c r="A20" s="234">
        <v>40674</v>
      </c>
      <c r="B20" s="257" t="s">
        <v>597</v>
      </c>
      <c r="C20" s="253">
        <v>11</v>
      </c>
      <c r="D20" s="214"/>
      <c r="E20" s="215"/>
      <c r="F20" s="214">
        <v>1000</v>
      </c>
      <c r="G20" s="215"/>
      <c r="H20" s="214"/>
      <c r="I20" s="215"/>
      <c r="J20" s="214"/>
      <c r="K20" s="215"/>
      <c r="L20" s="214"/>
      <c r="M20" s="215"/>
      <c r="N20" s="214"/>
      <c r="O20" s="215"/>
      <c r="P20" s="214"/>
      <c r="Q20" s="215"/>
      <c r="R20" s="214"/>
      <c r="S20" s="215"/>
      <c r="T20" s="214"/>
      <c r="U20" s="215"/>
      <c r="V20" s="214"/>
      <c r="W20" s="215"/>
      <c r="X20" s="214"/>
      <c r="Y20" s="215"/>
      <c r="Z20" s="214"/>
      <c r="AA20" s="215"/>
      <c r="AB20" s="214"/>
      <c r="AC20" s="215"/>
      <c r="AD20" s="214"/>
      <c r="AE20" s="215"/>
      <c r="AF20" s="214"/>
      <c r="AG20" s="215">
        <v>1000</v>
      </c>
      <c r="AH20" s="214"/>
      <c r="AI20" s="215"/>
      <c r="AJ20" s="214"/>
      <c r="AK20" s="215"/>
      <c r="AL20" s="214"/>
      <c r="AM20" s="215"/>
      <c r="AN20" s="214"/>
      <c r="AO20" s="215"/>
      <c r="AP20" s="214"/>
      <c r="AQ20" s="215"/>
      <c r="AR20" s="214"/>
      <c r="AS20" s="215"/>
      <c r="AT20" s="214"/>
      <c r="AU20" s="215"/>
      <c r="AV20" s="214"/>
      <c r="AW20" s="215"/>
      <c r="AX20" s="214"/>
      <c r="AY20" s="215"/>
      <c r="AZ20" s="214"/>
      <c r="BA20" s="215"/>
      <c r="BB20" s="214"/>
      <c r="BC20" s="215"/>
      <c r="BD20" s="214"/>
      <c r="BE20" s="215"/>
      <c r="BF20" s="214"/>
      <c r="BG20" s="215"/>
      <c r="BH20" s="214"/>
      <c r="BI20" s="215"/>
      <c r="BJ20" s="214"/>
      <c r="BK20" s="215"/>
      <c r="BL20" s="214"/>
      <c r="BM20" s="215"/>
      <c r="BN20" s="214"/>
      <c r="BO20" s="215"/>
      <c r="BP20" s="214"/>
      <c r="BQ20" s="215"/>
      <c r="BR20" s="193">
        <f t="shared" si="0"/>
        <v>0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79" customFormat="1">
      <c r="A21" s="234">
        <v>40676</v>
      </c>
      <c r="B21" s="257" t="s">
        <v>599</v>
      </c>
      <c r="C21" s="211">
        <v>12</v>
      </c>
      <c r="D21" s="214"/>
      <c r="E21" s="215"/>
      <c r="F21" s="214">
        <v>3200</v>
      </c>
      <c r="G21" s="215"/>
      <c r="H21" s="214"/>
      <c r="I21" s="215"/>
      <c r="J21" s="214"/>
      <c r="K21" s="215"/>
      <c r="L21" s="214"/>
      <c r="M21" s="215"/>
      <c r="N21" s="214"/>
      <c r="O21" s="215"/>
      <c r="P21" s="214"/>
      <c r="Q21" s="215"/>
      <c r="R21" s="214"/>
      <c r="S21" s="215"/>
      <c r="T21" s="214"/>
      <c r="U21" s="215"/>
      <c r="V21" s="214"/>
      <c r="W21" s="215"/>
      <c r="X21" s="214"/>
      <c r="Y21" s="215"/>
      <c r="Z21" s="214"/>
      <c r="AA21" s="215"/>
      <c r="AB21" s="214"/>
      <c r="AC21" s="215"/>
      <c r="AD21" s="214"/>
      <c r="AE21" s="215"/>
      <c r="AF21" s="214"/>
      <c r="AG21" s="215">
        <v>3200</v>
      </c>
      <c r="AH21" s="214"/>
      <c r="AI21" s="215"/>
      <c r="AJ21" s="214"/>
      <c r="AK21" s="215"/>
      <c r="AL21" s="214"/>
      <c r="AM21" s="215"/>
      <c r="AN21" s="214"/>
      <c r="AO21" s="215"/>
      <c r="AP21" s="214"/>
      <c r="AQ21" s="215"/>
      <c r="AR21" s="214"/>
      <c r="AS21" s="215"/>
      <c r="AT21" s="214"/>
      <c r="AU21" s="215"/>
      <c r="AV21" s="214"/>
      <c r="AW21" s="215"/>
      <c r="AX21" s="214"/>
      <c r="AY21" s="215"/>
      <c r="AZ21" s="214"/>
      <c r="BA21" s="215"/>
      <c r="BB21" s="214"/>
      <c r="BC21" s="215"/>
      <c r="BD21" s="214"/>
      <c r="BE21" s="215"/>
      <c r="BF21" s="214"/>
      <c r="BG21" s="215"/>
      <c r="BH21" s="214"/>
      <c r="BI21" s="215"/>
      <c r="BJ21" s="214"/>
      <c r="BK21" s="215"/>
      <c r="BL21" s="214"/>
      <c r="BM21" s="215"/>
      <c r="BN21" s="214"/>
      <c r="BO21" s="215"/>
      <c r="BP21" s="214"/>
      <c r="BQ21" s="215"/>
      <c r="BR21" s="193">
        <f t="shared" si="0"/>
        <v>0</v>
      </c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79" customFormat="1">
      <c r="A22" s="234">
        <v>40679</v>
      </c>
      <c r="B22" s="257" t="s">
        <v>600</v>
      </c>
      <c r="C22" s="211">
        <v>13</v>
      </c>
      <c r="D22" s="214"/>
      <c r="E22" s="215"/>
      <c r="F22" s="214">
        <v>2800</v>
      </c>
      <c r="G22" s="215"/>
      <c r="H22" s="214"/>
      <c r="I22" s="215"/>
      <c r="J22" s="214"/>
      <c r="K22" s="215"/>
      <c r="L22" s="214"/>
      <c r="M22" s="215"/>
      <c r="N22" s="214"/>
      <c r="O22" s="215"/>
      <c r="P22" s="214"/>
      <c r="Q22" s="215"/>
      <c r="R22" s="214"/>
      <c r="S22" s="215"/>
      <c r="T22" s="214"/>
      <c r="U22" s="215"/>
      <c r="V22" s="214"/>
      <c r="W22" s="215"/>
      <c r="X22" s="214"/>
      <c r="Y22" s="215"/>
      <c r="Z22" s="214"/>
      <c r="AA22" s="215"/>
      <c r="AB22" s="214"/>
      <c r="AC22" s="215"/>
      <c r="AD22" s="214"/>
      <c r="AE22" s="215"/>
      <c r="AF22" s="214"/>
      <c r="AG22" s="215">
        <v>2800</v>
      </c>
      <c r="AH22" s="214"/>
      <c r="AI22" s="215"/>
      <c r="AJ22" s="214"/>
      <c r="AK22" s="215"/>
      <c r="AL22" s="214"/>
      <c r="AM22" s="215"/>
      <c r="AN22" s="214"/>
      <c r="AO22" s="215"/>
      <c r="AP22" s="214"/>
      <c r="AQ22" s="215"/>
      <c r="AR22" s="214"/>
      <c r="AS22" s="215"/>
      <c r="AT22" s="214"/>
      <c r="AU22" s="215"/>
      <c r="AV22" s="214"/>
      <c r="AW22" s="215"/>
      <c r="AX22" s="214"/>
      <c r="AY22" s="215"/>
      <c r="AZ22" s="214"/>
      <c r="BA22" s="215"/>
      <c r="BB22" s="214"/>
      <c r="BC22" s="215"/>
      <c r="BD22" s="214"/>
      <c r="BE22" s="215"/>
      <c r="BF22" s="214"/>
      <c r="BG22" s="215"/>
      <c r="BH22" s="214"/>
      <c r="BI22" s="215"/>
      <c r="BJ22" s="214"/>
      <c r="BK22" s="215"/>
      <c r="BL22" s="214"/>
      <c r="BM22" s="215"/>
      <c r="BN22" s="214"/>
      <c r="BO22" s="215"/>
      <c r="BP22" s="214"/>
      <c r="BQ22" s="215"/>
      <c r="BR22" s="193">
        <f t="shared" si="0"/>
        <v>0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79" customFormat="1">
      <c r="A23" s="234">
        <v>40683</v>
      </c>
      <c r="B23" s="257" t="s">
        <v>598</v>
      </c>
      <c r="C23" s="211">
        <v>14</v>
      </c>
      <c r="D23" s="214"/>
      <c r="E23" s="215"/>
      <c r="F23" s="214">
        <v>3800</v>
      </c>
      <c r="G23" s="215"/>
      <c r="H23" s="214"/>
      <c r="I23" s="215"/>
      <c r="J23" s="214"/>
      <c r="K23" s="215"/>
      <c r="L23" s="214"/>
      <c r="M23" s="215"/>
      <c r="N23" s="214"/>
      <c r="O23" s="215"/>
      <c r="P23" s="214"/>
      <c r="Q23" s="215"/>
      <c r="R23" s="214"/>
      <c r="S23" s="215"/>
      <c r="T23" s="214"/>
      <c r="U23" s="215"/>
      <c r="V23" s="214"/>
      <c r="W23" s="215"/>
      <c r="X23" s="214"/>
      <c r="Y23" s="215"/>
      <c r="Z23" s="214"/>
      <c r="AA23" s="215"/>
      <c r="AB23" s="214"/>
      <c r="AC23" s="215"/>
      <c r="AD23" s="214"/>
      <c r="AE23" s="215"/>
      <c r="AF23" s="214"/>
      <c r="AG23" s="215">
        <v>3800</v>
      </c>
      <c r="AH23" s="214"/>
      <c r="AI23" s="215"/>
      <c r="AJ23" s="214"/>
      <c r="AK23" s="215"/>
      <c r="AL23" s="214"/>
      <c r="AM23" s="215"/>
      <c r="AN23" s="214"/>
      <c r="AO23" s="215"/>
      <c r="AP23" s="214"/>
      <c r="AQ23" s="215"/>
      <c r="AR23" s="214"/>
      <c r="AS23" s="215"/>
      <c r="AT23" s="214"/>
      <c r="AU23" s="215"/>
      <c r="AV23" s="214"/>
      <c r="AW23" s="215"/>
      <c r="AX23" s="214"/>
      <c r="AY23" s="215"/>
      <c r="AZ23" s="214"/>
      <c r="BA23" s="215"/>
      <c r="BB23" s="214"/>
      <c r="BC23" s="215"/>
      <c r="BD23" s="214"/>
      <c r="BE23" s="215"/>
      <c r="BF23" s="214"/>
      <c r="BG23" s="215"/>
      <c r="BH23" s="214"/>
      <c r="BI23" s="215"/>
      <c r="BJ23" s="214"/>
      <c r="BK23" s="215"/>
      <c r="BL23" s="214"/>
      <c r="BM23" s="215"/>
      <c r="BN23" s="214"/>
      <c r="BO23" s="215"/>
      <c r="BP23" s="214"/>
      <c r="BQ23" s="215"/>
      <c r="BR23" s="193">
        <f t="shared" si="0"/>
        <v>0</v>
      </c>
    </row>
    <row r="24" spans="1:256" s="79" customFormat="1">
      <c r="A24" s="234">
        <v>40688</v>
      </c>
      <c r="B24" s="257" t="s">
        <v>601</v>
      </c>
      <c r="C24" s="211">
        <v>15</v>
      </c>
      <c r="D24" s="214"/>
      <c r="E24" s="215"/>
      <c r="F24" s="214">
        <v>4800</v>
      </c>
      <c r="G24" s="215"/>
      <c r="H24" s="214"/>
      <c r="I24" s="215"/>
      <c r="J24" s="214"/>
      <c r="K24" s="215"/>
      <c r="L24" s="214"/>
      <c r="M24" s="215"/>
      <c r="N24" s="214"/>
      <c r="O24" s="215"/>
      <c r="P24" s="214"/>
      <c r="Q24" s="215"/>
      <c r="R24" s="214"/>
      <c r="S24" s="215"/>
      <c r="T24" s="214"/>
      <c r="U24" s="215"/>
      <c r="V24" s="214"/>
      <c r="W24" s="215"/>
      <c r="X24" s="214"/>
      <c r="Y24" s="215"/>
      <c r="Z24" s="214"/>
      <c r="AA24" s="215"/>
      <c r="AB24" s="214"/>
      <c r="AC24" s="215"/>
      <c r="AD24" s="214"/>
      <c r="AE24" s="215"/>
      <c r="AF24" s="214"/>
      <c r="AG24" s="215">
        <v>4800</v>
      </c>
      <c r="AH24" s="214"/>
      <c r="AI24" s="215"/>
      <c r="AJ24" s="214"/>
      <c r="AK24" s="215"/>
      <c r="AL24" s="214"/>
      <c r="AM24" s="215"/>
      <c r="AN24" s="214"/>
      <c r="AO24" s="215"/>
      <c r="AP24" s="214"/>
      <c r="AQ24" s="215"/>
      <c r="AR24" s="214"/>
      <c r="AS24" s="215"/>
      <c r="AT24" s="214"/>
      <c r="AU24" s="215"/>
      <c r="AV24" s="214"/>
      <c r="AW24" s="215"/>
      <c r="AX24" s="214"/>
      <c r="AY24" s="215"/>
      <c r="AZ24" s="214"/>
      <c r="BA24" s="215"/>
      <c r="BB24" s="214"/>
      <c r="BC24" s="215"/>
      <c r="BD24" s="214"/>
      <c r="BE24" s="215"/>
      <c r="BF24" s="214"/>
      <c r="BG24" s="215"/>
      <c r="BH24" s="214"/>
      <c r="BI24" s="215"/>
      <c r="BJ24" s="214"/>
      <c r="BK24" s="215"/>
      <c r="BL24" s="214"/>
      <c r="BM24" s="215"/>
      <c r="BN24" s="214"/>
      <c r="BO24" s="215"/>
      <c r="BP24" s="214"/>
      <c r="BQ24" s="215"/>
      <c r="BR24" s="193">
        <f t="shared" si="0"/>
        <v>0</v>
      </c>
    </row>
    <row r="25" spans="1:256" s="79" customFormat="1">
      <c r="A25" s="234">
        <v>40685</v>
      </c>
      <c r="B25" s="257" t="s">
        <v>602</v>
      </c>
      <c r="C25" s="211">
        <v>16</v>
      </c>
      <c r="D25" s="214"/>
      <c r="E25" s="215"/>
      <c r="F25" s="214"/>
      <c r="G25" s="215">
        <v>5000</v>
      </c>
      <c r="H25" s="214"/>
      <c r="I25" s="215"/>
      <c r="J25" s="214"/>
      <c r="K25" s="215"/>
      <c r="L25" s="214"/>
      <c r="M25" s="215"/>
      <c r="N25" s="214"/>
      <c r="O25" s="215"/>
      <c r="P25" s="214"/>
      <c r="Q25" s="215"/>
      <c r="R25" s="214"/>
      <c r="S25" s="215"/>
      <c r="T25" s="214"/>
      <c r="U25" s="215"/>
      <c r="V25" s="214"/>
      <c r="W25" s="215"/>
      <c r="X25" s="214"/>
      <c r="Y25" s="215"/>
      <c r="Z25" s="214"/>
      <c r="AA25" s="215"/>
      <c r="AB25" s="214"/>
      <c r="AC25" s="215"/>
      <c r="AD25" s="214"/>
      <c r="AE25" s="215"/>
      <c r="AF25" s="214"/>
      <c r="AG25" s="215"/>
      <c r="AH25" s="214"/>
      <c r="AI25" s="215"/>
      <c r="AJ25" s="214"/>
      <c r="AK25" s="215"/>
      <c r="AL25" s="214"/>
      <c r="AM25" s="215"/>
      <c r="AN25" s="214"/>
      <c r="AO25" s="215"/>
      <c r="AP25" s="214"/>
      <c r="AQ25" s="215"/>
      <c r="AR25" s="214"/>
      <c r="AS25" s="215"/>
      <c r="AT25" s="214"/>
      <c r="AU25" s="215"/>
      <c r="AV25" s="214"/>
      <c r="AW25" s="215"/>
      <c r="AX25" s="214"/>
      <c r="AY25" s="215"/>
      <c r="AZ25" s="214"/>
      <c r="BA25" s="215"/>
      <c r="BB25" s="214"/>
      <c r="BC25" s="215"/>
      <c r="BD25" s="214"/>
      <c r="BE25" s="215"/>
      <c r="BF25" s="214"/>
      <c r="BG25" s="215"/>
      <c r="BH25" s="214"/>
      <c r="BI25" s="215"/>
      <c r="BJ25" s="214"/>
      <c r="BK25" s="215"/>
      <c r="BL25" s="214"/>
      <c r="BM25" s="215"/>
      <c r="BN25" s="214">
        <v>5000</v>
      </c>
      <c r="BO25" s="215"/>
      <c r="BP25" s="214"/>
      <c r="BQ25" s="215"/>
      <c r="BR25" s="193">
        <f t="shared" si="0"/>
        <v>0</v>
      </c>
      <c r="BS25" s="194"/>
      <c r="BT25" s="194"/>
    </row>
    <row r="26" spans="1:256" s="79" customFormat="1">
      <c r="A26" s="234">
        <v>40693</v>
      </c>
      <c r="B26" s="257" t="s">
        <v>603</v>
      </c>
      <c r="C26" s="253">
        <v>17</v>
      </c>
      <c r="D26" s="214"/>
      <c r="E26" s="215"/>
      <c r="F26" s="214"/>
      <c r="G26" s="215">
        <v>2500</v>
      </c>
      <c r="H26" s="214"/>
      <c r="I26" s="215"/>
      <c r="J26" s="214"/>
      <c r="K26" s="215"/>
      <c r="L26" s="214"/>
      <c r="M26" s="215"/>
      <c r="N26" s="214"/>
      <c r="O26" s="215"/>
      <c r="P26" s="214"/>
      <c r="Q26" s="215"/>
      <c r="R26" s="214"/>
      <c r="S26" s="215"/>
      <c r="T26" s="214"/>
      <c r="U26" s="215"/>
      <c r="V26" s="214">
        <v>2500</v>
      </c>
      <c r="W26" s="215"/>
      <c r="X26" s="214"/>
      <c r="Y26" s="215"/>
      <c r="Z26" s="214"/>
      <c r="AA26" s="215"/>
      <c r="AB26" s="214"/>
      <c r="AC26" s="215"/>
      <c r="AD26" s="214"/>
      <c r="AE26" s="215"/>
      <c r="AF26" s="214"/>
      <c r="AG26" s="215"/>
      <c r="AH26" s="214"/>
      <c r="AI26" s="215"/>
      <c r="AJ26" s="214"/>
      <c r="AK26" s="215"/>
      <c r="AL26" s="214"/>
      <c r="AM26" s="215"/>
      <c r="AN26" s="214"/>
      <c r="AO26" s="215"/>
      <c r="AP26" s="214"/>
      <c r="AQ26" s="215"/>
      <c r="AR26" s="214"/>
      <c r="AS26" s="215"/>
      <c r="AT26" s="214"/>
      <c r="AU26" s="215"/>
      <c r="AV26" s="214"/>
      <c r="AW26" s="215"/>
      <c r="AX26" s="214"/>
      <c r="AY26" s="215"/>
      <c r="AZ26" s="214"/>
      <c r="BA26" s="215"/>
      <c r="BB26" s="214"/>
      <c r="BC26" s="215"/>
      <c r="BD26" s="214"/>
      <c r="BE26" s="215"/>
      <c r="BF26" s="214"/>
      <c r="BG26" s="215"/>
      <c r="BH26" s="214"/>
      <c r="BI26" s="215"/>
      <c r="BJ26" s="214"/>
      <c r="BK26" s="215"/>
      <c r="BL26" s="214"/>
      <c r="BM26" s="215"/>
      <c r="BN26" s="214"/>
      <c r="BO26" s="215"/>
      <c r="BP26" s="214"/>
      <c r="BQ26" s="215"/>
      <c r="BR26" s="193">
        <f t="shared" si="0"/>
        <v>0</v>
      </c>
    </row>
    <row r="27" spans="1:256" s="79" customFormat="1">
      <c r="A27" s="234">
        <v>40694</v>
      </c>
      <c r="B27" s="257" t="s">
        <v>268</v>
      </c>
      <c r="C27" s="211">
        <v>18</v>
      </c>
      <c r="D27" s="214"/>
      <c r="E27" s="215"/>
      <c r="F27" s="214"/>
      <c r="G27" s="215">
        <v>6</v>
      </c>
      <c r="H27" s="214"/>
      <c r="I27" s="215"/>
      <c r="J27" s="214"/>
      <c r="K27" s="215"/>
      <c r="L27" s="214"/>
      <c r="M27" s="215"/>
      <c r="N27" s="214"/>
      <c r="O27" s="215"/>
      <c r="P27" s="214"/>
      <c r="Q27" s="215"/>
      <c r="R27" s="214"/>
      <c r="S27" s="215"/>
      <c r="T27" s="214">
        <v>6</v>
      </c>
      <c r="U27" s="215"/>
      <c r="V27" s="214"/>
      <c r="W27" s="215"/>
      <c r="X27" s="214"/>
      <c r="Y27" s="215"/>
      <c r="Z27" s="214"/>
      <c r="AA27" s="215"/>
      <c r="AB27" s="214"/>
      <c r="AC27" s="215"/>
      <c r="AD27" s="214"/>
      <c r="AE27" s="215"/>
      <c r="AF27" s="214"/>
      <c r="AG27" s="215"/>
      <c r="AH27" s="214"/>
      <c r="AI27" s="215"/>
      <c r="AJ27" s="214"/>
      <c r="AK27" s="215"/>
      <c r="AL27" s="214"/>
      <c r="AM27" s="215"/>
      <c r="AN27" s="214"/>
      <c r="AO27" s="215"/>
      <c r="AP27" s="214"/>
      <c r="AQ27" s="215"/>
      <c r="AR27" s="214"/>
      <c r="AS27" s="215"/>
      <c r="AT27" s="214"/>
      <c r="AU27" s="215"/>
      <c r="AV27" s="214"/>
      <c r="AW27" s="215"/>
      <c r="AX27" s="214"/>
      <c r="AY27" s="215"/>
      <c r="AZ27" s="214"/>
      <c r="BA27" s="215"/>
      <c r="BB27" s="214"/>
      <c r="BC27" s="215"/>
      <c r="BD27" s="214"/>
      <c r="BE27" s="215"/>
      <c r="BF27" s="214"/>
      <c r="BG27" s="215"/>
      <c r="BH27" s="214"/>
      <c r="BI27" s="215"/>
      <c r="BJ27" s="214"/>
      <c r="BK27" s="215"/>
      <c r="BL27" s="214"/>
      <c r="BM27" s="215"/>
      <c r="BN27" s="214"/>
      <c r="BO27" s="215"/>
      <c r="BP27" s="214"/>
      <c r="BQ27" s="215"/>
      <c r="BR27" s="193">
        <f t="shared" si="0"/>
        <v>0</v>
      </c>
    </row>
    <row r="28" spans="1:256" s="79" customFormat="1">
      <c r="A28" s="261">
        <v>40695</v>
      </c>
      <c r="B28" s="257" t="s">
        <v>551</v>
      </c>
      <c r="C28" s="253">
        <v>19</v>
      </c>
      <c r="D28" s="214"/>
      <c r="E28" s="215"/>
      <c r="F28" s="214">
        <v>400</v>
      </c>
      <c r="G28" s="215"/>
      <c r="H28" s="214"/>
      <c r="I28" s="215"/>
      <c r="J28" s="214"/>
      <c r="K28" s="215"/>
      <c r="L28" s="214"/>
      <c r="M28" s="215"/>
      <c r="N28" s="214"/>
      <c r="O28" s="215"/>
      <c r="P28" s="214"/>
      <c r="Q28" s="215"/>
      <c r="R28" s="214"/>
      <c r="S28" s="215"/>
      <c r="T28" s="214"/>
      <c r="U28" s="215"/>
      <c r="V28" s="214"/>
      <c r="W28" s="215"/>
      <c r="X28" s="214"/>
      <c r="Y28" s="215"/>
      <c r="Z28" s="214"/>
      <c r="AA28" s="215"/>
      <c r="AB28" s="214"/>
      <c r="AC28" s="215"/>
      <c r="AD28" s="214"/>
      <c r="AE28" s="215"/>
      <c r="AF28" s="214"/>
      <c r="AG28" s="215">
        <v>400</v>
      </c>
      <c r="AH28" s="214"/>
      <c r="AI28" s="215"/>
      <c r="AJ28" s="214"/>
      <c r="AK28" s="215"/>
      <c r="AL28" s="214"/>
      <c r="AM28" s="215"/>
      <c r="AN28" s="214"/>
      <c r="AO28" s="215"/>
      <c r="AP28" s="214"/>
      <c r="AQ28" s="215"/>
      <c r="AR28" s="214"/>
      <c r="AS28" s="215"/>
      <c r="AT28" s="214"/>
      <c r="AU28" s="215"/>
      <c r="AV28" s="214"/>
      <c r="AW28" s="215"/>
      <c r="AX28" s="214"/>
      <c r="AY28" s="215"/>
      <c r="AZ28" s="214"/>
      <c r="BA28" s="215"/>
      <c r="BB28" s="214"/>
      <c r="BC28" s="215"/>
      <c r="BD28" s="214"/>
      <c r="BE28" s="215"/>
      <c r="BF28" s="214"/>
      <c r="BG28" s="215"/>
      <c r="BH28" s="214"/>
      <c r="BI28" s="215"/>
      <c r="BJ28" s="214"/>
      <c r="BK28" s="215"/>
      <c r="BL28" s="214"/>
      <c r="BM28" s="215"/>
      <c r="BN28" s="214"/>
      <c r="BO28" s="215"/>
      <c r="BP28" s="214"/>
      <c r="BQ28" s="215"/>
      <c r="BR28" s="193">
        <f t="shared" si="0"/>
        <v>0</v>
      </c>
    </row>
    <row r="29" spans="1:256" s="79" customFormat="1">
      <c r="A29" s="234">
        <v>40702</v>
      </c>
      <c r="B29" s="257" t="s">
        <v>597</v>
      </c>
      <c r="C29" s="211">
        <v>20</v>
      </c>
      <c r="D29" s="214"/>
      <c r="E29" s="215"/>
      <c r="F29" s="214">
        <v>1000</v>
      </c>
      <c r="G29" s="215"/>
      <c r="H29" s="214"/>
      <c r="I29" s="215"/>
      <c r="J29" s="214"/>
      <c r="K29" s="215"/>
      <c r="L29" s="214"/>
      <c r="M29" s="215"/>
      <c r="N29" s="214"/>
      <c r="O29" s="215"/>
      <c r="P29" s="214"/>
      <c r="Q29" s="215"/>
      <c r="R29" s="214"/>
      <c r="S29" s="215"/>
      <c r="T29" s="214"/>
      <c r="U29" s="215"/>
      <c r="V29" s="214"/>
      <c r="W29" s="215"/>
      <c r="X29" s="214"/>
      <c r="Y29" s="215"/>
      <c r="Z29" s="214"/>
      <c r="AA29" s="215"/>
      <c r="AB29" s="214"/>
      <c r="AC29" s="215"/>
      <c r="AD29" s="214"/>
      <c r="AE29" s="215"/>
      <c r="AF29" s="214"/>
      <c r="AG29" s="215">
        <v>1000</v>
      </c>
      <c r="AH29" s="214"/>
      <c r="AI29" s="215"/>
      <c r="AJ29" s="214"/>
      <c r="AK29" s="215"/>
      <c r="AL29" s="214"/>
      <c r="AM29" s="215"/>
      <c r="AN29" s="214"/>
      <c r="AO29" s="215"/>
      <c r="AP29" s="214"/>
      <c r="AQ29" s="215"/>
      <c r="AR29" s="214"/>
      <c r="AS29" s="215"/>
      <c r="AT29" s="214"/>
      <c r="AU29" s="215"/>
      <c r="AV29" s="214"/>
      <c r="AW29" s="215"/>
      <c r="AX29" s="214"/>
      <c r="AY29" s="215"/>
      <c r="AZ29" s="214"/>
      <c r="BA29" s="215"/>
      <c r="BB29" s="214"/>
      <c r="BC29" s="215"/>
      <c r="BD29" s="214"/>
      <c r="BE29" s="215"/>
      <c r="BF29" s="214"/>
      <c r="BG29" s="215"/>
      <c r="BH29" s="214"/>
      <c r="BI29" s="215"/>
      <c r="BJ29" s="214"/>
      <c r="BK29" s="215"/>
      <c r="BL29" s="214"/>
      <c r="BM29" s="215"/>
      <c r="BN29" s="214"/>
      <c r="BO29" s="215"/>
      <c r="BP29" s="214"/>
      <c r="BQ29" s="215"/>
      <c r="BR29" s="193">
        <f t="shared" si="0"/>
        <v>0</v>
      </c>
    </row>
    <row r="30" spans="1:256" s="79" customFormat="1">
      <c r="A30" s="234">
        <v>40709</v>
      </c>
      <c r="B30" s="257" t="s">
        <v>551</v>
      </c>
      <c r="C30" s="211">
        <v>21</v>
      </c>
      <c r="D30" s="214"/>
      <c r="E30" s="215"/>
      <c r="F30" s="214">
        <v>400</v>
      </c>
      <c r="G30" s="215"/>
      <c r="H30" s="214"/>
      <c r="I30" s="215"/>
      <c r="J30" s="214"/>
      <c r="K30" s="215"/>
      <c r="L30" s="214"/>
      <c r="M30" s="215"/>
      <c r="N30" s="214"/>
      <c r="O30" s="215"/>
      <c r="P30" s="214"/>
      <c r="Q30" s="215"/>
      <c r="R30" s="214"/>
      <c r="S30" s="215"/>
      <c r="T30" s="214"/>
      <c r="U30" s="215"/>
      <c r="V30" s="214"/>
      <c r="W30" s="215"/>
      <c r="X30" s="214"/>
      <c r="Y30" s="215"/>
      <c r="Z30" s="214"/>
      <c r="AA30" s="215"/>
      <c r="AB30" s="214"/>
      <c r="AC30" s="215"/>
      <c r="AD30" s="214"/>
      <c r="AE30" s="215"/>
      <c r="AF30" s="214"/>
      <c r="AG30" s="215">
        <v>400</v>
      </c>
      <c r="AH30" s="214"/>
      <c r="AI30" s="215"/>
      <c r="AJ30" s="214"/>
      <c r="AK30" s="215"/>
      <c r="AL30" s="214"/>
      <c r="AM30" s="215"/>
      <c r="AN30" s="214"/>
      <c r="AO30" s="215"/>
      <c r="AP30" s="214"/>
      <c r="AQ30" s="215"/>
      <c r="AR30" s="214"/>
      <c r="AS30" s="215"/>
      <c r="AT30" s="214"/>
      <c r="AU30" s="215"/>
      <c r="AV30" s="214"/>
      <c r="AW30" s="215"/>
      <c r="AX30" s="214"/>
      <c r="AY30" s="215"/>
      <c r="AZ30" s="214"/>
      <c r="BA30" s="215"/>
      <c r="BB30" s="214"/>
      <c r="BC30" s="215"/>
      <c r="BD30" s="214"/>
      <c r="BE30" s="215"/>
      <c r="BF30" s="214"/>
      <c r="BG30" s="215"/>
      <c r="BH30" s="214"/>
      <c r="BI30" s="215"/>
      <c r="BJ30" s="214"/>
      <c r="BK30" s="215"/>
      <c r="BL30" s="214"/>
      <c r="BM30" s="215"/>
      <c r="BN30" s="214"/>
      <c r="BO30" s="215"/>
      <c r="BP30" s="214"/>
      <c r="BQ30" s="215"/>
      <c r="BR30" s="193">
        <f t="shared" si="0"/>
        <v>0</v>
      </c>
    </row>
    <row r="31" spans="1:256" s="79" customFormat="1">
      <c r="A31" s="234">
        <v>40714</v>
      </c>
      <c r="B31" s="257" t="s">
        <v>547</v>
      </c>
      <c r="C31" s="211">
        <v>22</v>
      </c>
      <c r="D31" s="214"/>
      <c r="E31" s="215"/>
      <c r="F31" s="214">
        <v>800</v>
      </c>
      <c r="G31" s="215"/>
      <c r="H31" s="214"/>
      <c r="I31" s="215"/>
      <c r="J31" s="214"/>
      <c r="K31" s="215"/>
      <c r="L31" s="214"/>
      <c r="M31" s="215"/>
      <c r="N31" s="214"/>
      <c r="O31" s="215"/>
      <c r="P31" s="214"/>
      <c r="Q31" s="215"/>
      <c r="R31" s="214"/>
      <c r="S31" s="215"/>
      <c r="T31" s="214"/>
      <c r="U31" s="215"/>
      <c r="V31" s="214"/>
      <c r="W31" s="215"/>
      <c r="X31" s="214"/>
      <c r="Y31" s="215"/>
      <c r="Z31" s="214"/>
      <c r="AA31" s="215"/>
      <c r="AB31" s="214"/>
      <c r="AC31" s="215"/>
      <c r="AD31" s="214"/>
      <c r="AE31" s="215"/>
      <c r="AF31" s="214"/>
      <c r="AG31" s="215">
        <v>800</v>
      </c>
      <c r="AH31" s="214"/>
      <c r="AI31" s="215"/>
      <c r="AJ31" s="214"/>
      <c r="AK31" s="215"/>
      <c r="AL31" s="214"/>
      <c r="AM31" s="215"/>
      <c r="AN31" s="214"/>
      <c r="AO31" s="215"/>
      <c r="AP31" s="214"/>
      <c r="AQ31" s="215"/>
      <c r="AR31" s="214"/>
      <c r="AS31" s="215"/>
      <c r="AT31" s="214"/>
      <c r="AU31" s="215"/>
      <c r="AV31" s="214"/>
      <c r="AW31" s="215"/>
      <c r="AX31" s="214"/>
      <c r="AY31" s="215"/>
      <c r="AZ31" s="214"/>
      <c r="BA31" s="215"/>
      <c r="BB31" s="214"/>
      <c r="BC31" s="215"/>
      <c r="BD31" s="214"/>
      <c r="BE31" s="215"/>
      <c r="BF31" s="214"/>
      <c r="BG31" s="215"/>
      <c r="BH31" s="214"/>
      <c r="BI31" s="215"/>
      <c r="BJ31" s="214"/>
      <c r="BK31" s="215"/>
      <c r="BL31" s="214"/>
      <c r="BM31" s="215"/>
      <c r="BN31" s="214"/>
      <c r="BO31" s="215"/>
      <c r="BP31" s="214"/>
      <c r="BQ31" s="215"/>
      <c r="BR31" s="193">
        <f t="shared" si="0"/>
        <v>0</v>
      </c>
    </row>
    <row r="32" spans="1:256" s="79" customFormat="1">
      <c r="A32" s="234">
        <v>40716</v>
      </c>
      <c r="B32" s="257" t="s">
        <v>591</v>
      </c>
      <c r="C32" s="211">
        <v>23</v>
      </c>
      <c r="D32" s="214"/>
      <c r="E32" s="215"/>
      <c r="F32" s="214">
        <v>200</v>
      </c>
      <c r="G32" s="215"/>
      <c r="H32" s="214"/>
      <c r="I32" s="215"/>
      <c r="J32" s="214"/>
      <c r="K32" s="215"/>
      <c r="L32" s="214"/>
      <c r="M32" s="215"/>
      <c r="N32" s="214"/>
      <c r="O32" s="215"/>
      <c r="P32" s="214"/>
      <c r="Q32" s="215"/>
      <c r="R32" s="214"/>
      <c r="S32" s="215"/>
      <c r="T32" s="214"/>
      <c r="U32" s="215"/>
      <c r="V32" s="214"/>
      <c r="W32" s="215"/>
      <c r="X32" s="214"/>
      <c r="Y32" s="215"/>
      <c r="Z32" s="214"/>
      <c r="AA32" s="215"/>
      <c r="AB32" s="214"/>
      <c r="AC32" s="215"/>
      <c r="AD32" s="214"/>
      <c r="AE32" s="215"/>
      <c r="AF32" s="214"/>
      <c r="AG32" s="215">
        <v>200</v>
      </c>
      <c r="AH32" s="214"/>
      <c r="AI32" s="215"/>
      <c r="AJ32" s="214"/>
      <c r="AK32" s="215"/>
      <c r="AL32" s="214"/>
      <c r="AM32" s="215"/>
      <c r="AN32" s="214"/>
      <c r="AO32" s="215"/>
      <c r="AP32" s="214"/>
      <c r="AQ32" s="215"/>
      <c r="AR32" s="214"/>
      <c r="AS32" s="215"/>
      <c r="AT32" s="214"/>
      <c r="AU32" s="215"/>
      <c r="AV32" s="214"/>
      <c r="AW32" s="215"/>
      <c r="AX32" s="214"/>
      <c r="AY32" s="215"/>
      <c r="AZ32" s="214"/>
      <c r="BA32" s="215"/>
      <c r="BB32" s="214"/>
      <c r="BC32" s="215"/>
      <c r="BD32" s="214"/>
      <c r="BE32" s="215"/>
      <c r="BF32" s="214"/>
      <c r="BG32" s="215"/>
      <c r="BH32" s="214"/>
      <c r="BI32" s="215"/>
      <c r="BJ32" s="214"/>
      <c r="BK32" s="215"/>
      <c r="BL32" s="214"/>
      <c r="BM32" s="215"/>
      <c r="BN32" s="214"/>
      <c r="BO32" s="215"/>
      <c r="BP32" s="214"/>
      <c r="BQ32" s="215"/>
      <c r="BR32" s="193">
        <f t="shared" si="0"/>
        <v>0</v>
      </c>
    </row>
    <row r="33" spans="1:70" s="79" customFormat="1">
      <c r="A33" s="261">
        <v>40722</v>
      </c>
      <c r="B33" s="257" t="s">
        <v>591</v>
      </c>
      <c r="C33" s="211">
        <v>24</v>
      </c>
      <c r="D33" s="214"/>
      <c r="E33" s="215"/>
      <c r="F33" s="214">
        <v>200</v>
      </c>
      <c r="G33" s="215"/>
      <c r="H33" s="214"/>
      <c r="I33" s="215"/>
      <c r="J33" s="214"/>
      <c r="K33" s="215"/>
      <c r="L33" s="214"/>
      <c r="M33" s="215"/>
      <c r="N33" s="214"/>
      <c r="O33" s="215"/>
      <c r="P33" s="214"/>
      <c r="Q33" s="215"/>
      <c r="R33" s="214"/>
      <c r="S33" s="215"/>
      <c r="T33" s="214"/>
      <c r="U33" s="215"/>
      <c r="V33" s="214"/>
      <c r="W33" s="215"/>
      <c r="X33" s="214"/>
      <c r="Y33" s="215"/>
      <c r="Z33" s="214"/>
      <c r="AA33" s="215"/>
      <c r="AB33" s="214"/>
      <c r="AC33" s="215"/>
      <c r="AD33" s="214"/>
      <c r="AE33" s="215"/>
      <c r="AF33" s="214"/>
      <c r="AG33" s="215">
        <v>200</v>
      </c>
      <c r="AH33" s="214"/>
      <c r="AI33" s="215"/>
      <c r="AJ33" s="214"/>
      <c r="AK33" s="215"/>
      <c r="AL33" s="214"/>
      <c r="AM33" s="215"/>
      <c r="AN33" s="214"/>
      <c r="AO33" s="215"/>
      <c r="AP33" s="214"/>
      <c r="AQ33" s="215"/>
      <c r="AR33" s="214"/>
      <c r="AS33" s="215"/>
      <c r="AT33" s="214"/>
      <c r="AU33" s="215"/>
      <c r="AV33" s="214"/>
      <c r="AW33" s="215"/>
      <c r="AX33" s="214"/>
      <c r="AY33" s="215"/>
      <c r="AZ33" s="214"/>
      <c r="BA33" s="215"/>
      <c r="BB33" s="214"/>
      <c r="BC33" s="215"/>
      <c r="BD33" s="214"/>
      <c r="BE33" s="215"/>
      <c r="BF33" s="214"/>
      <c r="BG33" s="215"/>
      <c r="BH33" s="214"/>
      <c r="BI33" s="215"/>
      <c r="BJ33" s="214"/>
      <c r="BK33" s="215"/>
      <c r="BL33" s="214"/>
      <c r="BM33" s="215"/>
      <c r="BN33" s="214"/>
      <c r="BO33" s="215"/>
      <c r="BP33" s="214"/>
      <c r="BQ33" s="215"/>
      <c r="BR33" s="193">
        <f t="shared" si="0"/>
        <v>0</v>
      </c>
    </row>
    <row r="34" spans="1:70" s="79" customFormat="1">
      <c r="A34" s="234">
        <v>40717</v>
      </c>
      <c r="B34" s="257" t="s">
        <v>604</v>
      </c>
      <c r="C34" s="211">
        <v>25</v>
      </c>
      <c r="D34" s="214"/>
      <c r="E34" s="215"/>
      <c r="F34" s="214"/>
      <c r="G34" s="215">
        <v>8305</v>
      </c>
      <c r="H34" s="214"/>
      <c r="I34" s="215"/>
      <c r="J34" s="214"/>
      <c r="K34" s="215"/>
      <c r="L34" s="214"/>
      <c r="M34" s="215"/>
      <c r="N34" s="214">
        <v>8305</v>
      </c>
      <c r="O34" s="215"/>
      <c r="P34" s="214"/>
      <c r="Q34" s="215"/>
      <c r="R34" s="214"/>
      <c r="S34" s="215"/>
      <c r="T34" s="214"/>
      <c r="U34" s="215"/>
      <c r="V34" s="214"/>
      <c r="W34" s="215"/>
      <c r="X34" s="214"/>
      <c r="Y34" s="215"/>
      <c r="Z34" s="214"/>
      <c r="AA34" s="215"/>
      <c r="AB34" s="214"/>
      <c r="AC34" s="215"/>
      <c r="AD34" s="214"/>
      <c r="AE34" s="215"/>
      <c r="AF34" s="214"/>
      <c r="AG34" s="215"/>
      <c r="AH34" s="214"/>
      <c r="AI34" s="215"/>
      <c r="AJ34" s="214"/>
      <c r="AK34" s="215"/>
      <c r="AL34" s="214"/>
      <c r="AM34" s="215"/>
      <c r="AN34" s="214"/>
      <c r="AO34" s="215"/>
      <c r="AP34" s="214"/>
      <c r="AQ34" s="215"/>
      <c r="AR34" s="214"/>
      <c r="AS34" s="215"/>
      <c r="AT34" s="214"/>
      <c r="AU34" s="215"/>
      <c r="AV34" s="214"/>
      <c r="AW34" s="215"/>
      <c r="AX34" s="214"/>
      <c r="AY34" s="215"/>
      <c r="AZ34" s="214"/>
      <c r="BA34" s="215"/>
      <c r="BB34" s="214"/>
      <c r="BC34" s="215"/>
      <c r="BD34" s="214"/>
      <c r="BE34" s="215"/>
      <c r="BF34" s="214"/>
      <c r="BG34" s="215"/>
      <c r="BH34" s="214"/>
      <c r="BI34" s="215"/>
      <c r="BJ34" s="214"/>
      <c r="BK34" s="215"/>
      <c r="BL34" s="214"/>
      <c r="BM34" s="215"/>
      <c r="BN34" s="214"/>
      <c r="BO34" s="215"/>
      <c r="BP34" s="214"/>
      <c r="BQ34" s="215"/>
      <c r="BR34" s="193"/>
    </row>
    <row r="35" spans="1:70" s="79" customFormat="1">
      <c r="A35" s="234">
        <v>40724</v>
      </c>
      <c r="B35" s="257" t="s">
        <v>268</v>
      </c>
      <c r="C35" s="211">
        <v>26</v>
      </c>
      <c r="D35" s="214"/>
      <c r="E35" s="215"/>
      <c r="F35" s="214"/>
      <c r="G35" s="215">
        <v>2</v>
      </c>
      <c r="H35" s="214"/>
      <c r="I35" s="215"/>
      <c r="J35" s="214"/>
      <c r="K35" s="215"/>
      <c r="L35" s="214"/>
      <c r="M35" s="215"/>
      <c r="N35" s="214"/>
      <c r="O35" s="215"/>
      <c r="P35" s="214"/>
      <c r="Q35" s="215"/>
      <c r="R35" s="214"/>
      <c r="S35" s="215"/>
      <c r="T35" s="214">
        <v>2</v>
      </c>
      <c r="U35" s="215"/>
      <c r="V35" s="214"/>
      <c r="W35" s="215"/>
      <c r="X35" s="214"/>
      <c r="Y35" s="215"/>
      <c r="Z35" s="214"/>
      <c r="AA35" s="215"/>
      <c r="AB35" s="214"/>
      <c r="AC35" s="215"/>
      <c r="AD35" s="214"/>
      <c r="AE35" s="215"/>
      <c r="AF35" s="214"/>
      <c r="AG35" s="215"/>
      <c r="AH35" s="214"/>
      <c r="AI35" s="215"/>
      <c r="AJ35" s="214"/>
      <c r="AK35" s="215"/>
      <c r="AL35" s="214"/>
      <c r="AM35" s="215"/>
      <c r="AN35" s="214"/>
      <c r="AO35" s="215"/>
      <c r="AP35" s="214"/>
      <c r="AQ35" s="215"/>
      <c r="AR35" s="214"/>
      <c r="AS35" s="215"/>
      <c r="AT35" s="214"/>
      <c r="AU35" s="215"/>
      <c r="AV35" s="214"/>
      <c r="AW35" s="215"/>
      <c r="AX35" s="214"/>
      <c r="AY35" s="215"/>
      <c r="AZ35" s="214"/>
      <c r="BA35" s="215"/>
      <c r="BB35" s="214"/>
      <c r="BC35" s="215"/>
      <c r="BD35" s="214"/>
      <c r="BE35" s="215"/>
      <c r="BF35" s="214"/>
      <c r="BG35" s="215"/>
      <c r="BH35" s="214"/>
      <c r="BI35" s="215"/>
      <c r="BJ35" s="214"/>
      <c r="BK35" s="215"/>
      <c r="BL35" s="214"/>
      <c r="BM35" s="215"/>
      <c r="BN35" s="214"/>
      <c r="BO35" s="215"/>
      <c r="BP35" s="214"/>
      <c r="BQ35" s="215"/>
      <c r="BR35" s="193"/>
    </row>
    <row r="36" spans="1:70" s="79" customFormat="1">
      <c r="A36" s="234">
        <v>40734</v>
      </c>
      <c r="B36" s="257" t="s">
        <v>547</v>
      </c>
      <c r="C36" s="211">
        <v>27</v>
      </c>
      <c r="D36" s="214"/>
      <c r="E36" s="215"/>
      <c r="F36" s="214">
        <v>800</v>
      </c>
      <c r="G36" s="215"/>
      <c r="H36" s="214"/>
      <c r="I36" s="215"/>
      <c r="J36" s="214"/>
      <c r="K36" s="215"/>
      <c r="L36" s="214"/>
      <c r="M36" s="215"/>
      <c r="N36" s="214"/>
      <c r="O36" s="215"/>
      <c r="P36" s="214"/>
      <c r="Q36" s="215"/>
      <c r="R36" s="214"/>
      <c r="S36" s="215"/>
      <c r="T36" s="214"/>
      <c r="U36" s="215"/>
      <c r="V36" s="214"/>
      <c r="W36" s="215"/>
      <c r="X36" s="214"/>
      <c r="Y36" s="215"/>
      <c r="Z36" s="214"/>
      <c r="AA36" s="215"/>
      <c r="AB36" s="214"/>
      <c r="AC36" s="215"/>
      <c r="AD36" s="214"/>
      <c r="AE36" s="215"/>
      <c r="AF36" s="214"/>
      <c r="AG36" s="215">
        <v>800</v>
      </c>
      <c r="AH36" s="214"/>
      <c r="AI36" s="215"/>
      <c r="AJ36" s="214"/>
      <c r="AK36" s="215"/>
      <c r="AL36" s="214"/>
      <c r="AM36" s="215"/>
      <c r="AN36" s="214"/>
      <c r="AO36" s="215"/>
      <c r="AP36" s="214"/>
      <c r="AQ36" s="215"/>
      <c r="AR36" s="214"/>
      <c r="AS36" s="215"/>
      <c r="AT36" s="214"/>
      <c r="AU36" s="215"/>
      <c r="AV36" s="214"/>
      <c r="AW36" s="215"/>
      <c r="AX36" s="214"/>
      <c r="AY36" s="215"/>
      <c r="AZ36" s="214"/>
      <c r="BA36" s="215"/>
      <c r="BB36" s="214"/>
      <c r="BC36" s="215"/>
      <c r="BD36" s="214"/>
      <c r="BE36" s="215"/>
      <c r="BF36" s="214"/>
      <c r="BG36" s="215"/>
      <c r="BH36" s="214"/>
      <c r="BI36" s="215"/>
      <c r="BJ36" s="214"/>
      <c r="BK36" s="215"/>
      <c r="BL36" s="214"/>
      <c r="BM36" s="215"/>
      <c r="BN36" s="214"/>
      <c r="BO36" s="215"/>
      <c r="BP36" s="214"/>
      <c r="BQ36" s="215"/>
      <c r="BR36" s="193"/>
    </row>
    <row r="37" spans="1:70" s="79" customFormat="1">
      <c r="A37" s="234">
        <v>40784</v>
      </c>
      <c r="B37" s="257" t="s">
        <v>605</v>
      </c>
      <c r="C37" s="211">
        <v>28</v>
      </c>
      <c r="D37" s="214"/>
      <c r="E37" s="215"/>
      <c r="F37" s="214"/>
      <c r="G37" s="215">
        <v>300</v>
      </c>
      <c r="H37" s="214"/>
      <c r="I37" s="215"/>
      <c r="J37" s="214"/>
      <c r="K37" s="215"/>
      <c r="L37" s="214"/>
      <c r="M37" s="215"/>
      <c r="N37" s="214">
        <v>300</v>
      </c>
      <c r="O37" s="215"/>
      <c r="P37" s="214"/>
      <c r="Q37" s="215"/>
      <c r="R37" s="214"/>
      <c r="S37" s="215"/>
      <c r="T37" s="214"/>
      <c r="U37" s="215"/>
      <c r="V37" s="214"/>
      <c r="W37" s="215"/>
      <c r="X37" s="214"/>
      <c r="Y37" s="215"/>
      <c r="Z37" s="214"/>
      <c r="AA37" s="215"/>
      <c r="AB37" s="214"/>
      <c r="AC37" s="215"/>
      <c r="AD37" s="214"/>
      <c r="AE37" s="215"/>
      <c r="AF37" s="214"/>
      <c r="AG37" s="215"/>
      <c r="AH37" s="214"/>
      <c r="AI37" s="215"/>
      <c r="AJ37" s="214"/>
      <c r="AK37" s="215"/>
      <c r="AL37" s="214"/>
      <c r="AM37" s="215"/>
      <c r="AN37" s="214"/>
      <c r="AO37" s="215"/>
      <c r="AP37" s="214"/>
      <c r="AQ37" s="215"/>
      <c r="AR37" s="214"/>
      <c r="AS37" s="215"/>
      <c r="AT37" s="214"/>
      <c r="AU37" s="215"/>
      <c r="AV37" s="214"/>
      <c r="AW37" s="215"/>
      <c r="AX37" s="214"/>
      <c r="AY37" s="215"/>
      <c r="AZ37" s="214"/>
      <c r="BA37" s="215"/>
      <c r="BB37" s="214"/>
      <c r="BC37" s="215"/>
      <c r="BD37" s="214"/>
      <c r="BE37" s="215"/>
      <c r="BF37" s="214"/>
      <c r="BG37" s="215"/>
      <c r="BH37" s="214"/>
      <c r="BI37" s="215"/>
      <c r="BJ37" s="214"/>
      <c r="BK37" s="215"/>
      <c r="BL37" s="214"/>
      <c r="BM37" s="215"/>
      <c r="BN37" s="214"/>
      <c r="BO37" s="215"/>
      <c r="BP37" s="214"/>
      <c r="BQ37" s="215"/>
      <c r="BR37" s="193"/>
    </row>
    <row r="38" spans="1:70" s="79" customFormat="1">
      <c r="A38" s="234">
        <v>40784</v>
      </c>
      <c r="B38" s="257" t="s">
        <v>605</v>
      </c>
      <c r="C38" s="211">
        <v>28</v>
      </c>
      <c r="D38" s="214"/>
      <c r="E38" s="215"/>
      <c r="F38" s="214"/>
      <c r="G38" s="215">
        <v>1548.9</v>
      </c>
      <c r="H38" s="214"/>
      <c r="I38" s="215"/>
      <c r="J38" s="214"/>
      <c r="K38" s="215"/>
      <c r="L38" s="214"/>
      <c r="M38" s="215"/>
      <c r="N38" s="214">
        <v>1148.9000000000001</v>
      </c>
      <c r="O38" s="215"/>
      <c r="P38" s="214"/>
      <c r="Q38" s="215"/>
      <c r="R38" s="214"/>
      <c r="S38" s="215"/>
      <c r="T38" s="214"/>
      <c r="U38" s="215">
        <v>50</v>
      </c>
      <c r="V38" s="214"/>
      <c r="W38" s="215"/>
      <c r="X38" s="214"/>
      <c r="Y38" s="215"/>
      <c r="Z38" s="214"/>
      <c r="AA38" s="215"/>
      <c r="AB38" s="214"/>
      <c r="AC38" s="215"/>
      <c r="AD38" s="214"/>
      <c r="AE38" s="215"/>
      <c r="AF38" s="214"/>
      <c r="AG38" s="215"/>
      <c r="AH38" s="214"/>
      <c r="AI38" s="215"/>
      <c r="AJ38" s="214"/>
      <c r="AK38" s="215"/>
      <c r="AL38" s="214"/>
      <c r="AM38" s="215"/>
      <c r="AN38" s="214"/>
      <c r="AO38" s="215"/>
      <c r="AP38" s="214"/>
      <c r="AQ38" s="215"/>
      <c r="AR38" s="214"/>
      <c r="AS38" s="215"/>
      <c r="AT38" s="214"/>
      <c r="AU38" s="215"/>
      <c r="AV38" s="214"/>
      <c r="AW38" s="215"/>
      <c r="AX38" s="214"/>
      <c r="AY38" s="215"/>
      <c r="AZ38" s="214"/>
      <c r="BA38" s="215"/>
      <c r="BB38" s="214"/>
      <c r="BC38" s="215"/>
      <c r="BD38" s="214"/>
      <c r="BE38" s="215"/>
      <c r="BF38" s="214"/>
      <c r="BG38" s="215"/>
      <c r="BH38" s="214"/>
      <c r="BI38" s="215"/>
      <c r="BJ38" s="214"/>
      <c r="BK38" s="215"/>
      <c r="BL38" s="214"/>
      <c r="BM38" s="215"/>
      <c r="BN38" s="214">
        <v>450</v>
      </c>
      <c r="BO38" s="215"/>
      <c r="BP38" s="214"/>
      <c r="BQ38" s="215"/>
      <c r="BR38" s="193"/>
    </row>
    <row r="39" spans="1:70" s="79" customFormat="1">
      <c r="A39" s="234">
        <v>40786</v>
      </c>
      <c r="B39" s="257" t="s">
        <v>268</v>
      </c>
      <c r="C39" s="211">
        <v>29</v>
      </c>
      <c r="D39" s="214"/>
      <c r="E39" s="215"/>
      <c r="F39" s="214"/>
      <c r="G39" s="215">
        <v>6</v>
      </c>
      <c r="H39" s="214"/>
      <c r="I39" s="215"/>
      <c r="J39" s="214"/>
      <c r="K39" s="215"/>
      <c r="L39" s="214"/>
      <c r="M39" s="215"/>
      <c r="N39" s="214"/>
      <c r="O39" s="215"/>
      <c r="P39" s="214"/>
      <c r="Q39" s="215"/>
      <c r="R39" s="214"/>
      <c r="S39" s="215"/>
      <c r="T39" s="214">
        <v>6</v>
      </c>
      <c r="U39" s="215"/>
      <c r="V39" s="214"/>
      <c r="W39" s="215"/>
      <c r="X39" s="214"/>
      <c r="Y39" s="215"/>
      <c r="Z39" s="214"/>
      <c r="AA39" s="215"/>
      <c r="AB39" s="214"/>
      <c r="AC39" s="215"/>
      <c r="AD39" s="214"/>
      <c r="AE39" s="215"/>
      <c r="AF39" s="214"/>
      <c r="AG39" s="215"/>
      <c r="AH39" s="214"/>
      <c r="AI39" s="215"/>
      <c r="AJ39" s="214"/>
      <c r="AK39" s="215"/>
      <c r="AL39" s="214"/>
      <c r="AM39" s="215"/>
      <c r="AN39" s="214"/>
      <c r="AO39" s="215"/>
      <c r="AP39" s="214"/>
      <c r="AQ39" s="215"/>
      <c r="AR39" s="214"/>
      <c r="AS39" s="215"/>
      <c r="AT39" s="214"/>
      <c r="AU39" s="215"/>
      <c r="AV39" s="214"/>
      <c r="AW39" s="215"/>
      <c r="AX39" s="214"/>
      <c r="AY39" s="215"/>
      <c r="AZ39" s="214"/>
      <c r="BA39" s="215"/>
      <c r="BB39" s="214"/>
      <c r="BC39" s="215"/>
      <c r="BD39" s="214"/>
      <c r="BE39" s="215"/>
      <c r="BF39" s="214"/>
      <c r="BG39" s="215"/>
      <c r="BH39" s="214"/>
      <c r="BI39" s="215"/>
      <c r="BJ39" s="214"/>
      <c r="BK39" s="215"/>
      <c r="BL39" s="214"/>
      <c r="BM39" s="215"/>
      <c r="BN39" s="214"/>
      <c r="BO39" s="215"/>
      <c r="BP39" s="214"/>
      <c r="BQ39" s="215"/>
      <c r="BR39" s="193"/>
    </row>
    <row r="40" spans="1:70" s="79" customFormat="1">
      <c r="A40" s="234">
        <v>40804</v>
      </c>
      <c r="B40" s="257" t="s">
        <v>606</v>
      </c>
      <c r="C40" s="211">
        <v>30</v>
      </c>
      <c r="D40" s="214"/>
      <c r="E40" s="215"/>
      <c r="F40" s="214"/>
      <c r="G40" s="215">
        <v>850000</v>
      </c>
      <c r="H40" s="214"/>
      <c r="I40" s="215"/>
      <c r="J40" s="214"/>
      <c r="K40" s="215"/>
      <c r="L40" s="214"/>
      <c r="M40" s="215"/>
      <c r="N40" s="214"/>
      <c r="O40" s="215"/>
      <c r="P40" s="214"/>
      <c r="Q40" s="215"/>
      <c r="R40" s="214"/>
      <c r="S40" s="215"/>
      <c r="T40" s="214"/>
      <c r="U40" s="215"/>
      <c r="V40" s="214"/>
      <c r="W40" s="215"/>
      <c r="X40" s="214"/>
      <c r="Y40" s="215"/>
      <c r="Z40" s="214"/>
      <c r="AA40" s="215"/>
      <c r="AB40" s="214"/>
      <c r="AC40" s="215"/>
      <c r="AD40" s="214"/>
      <c r="AE40" s="215"/>
      <c r="AF40" s="214"/>
      <c r="AG40" s="215"/>
      <c r="AH40" s="263">
        <v>850000</v>
      </c>
      <c r="AI40" s="215"/>
      <c r="AJ40" s="214"/>
      <c r="AK40" s="215"/>
      <c r="AL40" s="214"/>
      <c r="AM40" s="215"/>
      <c r="AN40" s="214"/>
      <c r="AO40" s="215"/>
      <c r="AP40" s="214"/>
      <c r="AQ40" s="215"/>
      <c r="AR40" s="214"/>
      <c r="AS40" s="215"/>
      <c r="AT40" s="214"/>
      <c r="AU40" s="215"/>
      <c r="AV40" s="214"/>
      <c r="AW40" s="215"/>
      <c r="AX40" s="214"/>
      <c r="AY40" s="215"/>
      <c r="AZ40" s="214"/>
      <c r="BA40" s="215"/>
      <c r="BB40" s="214"/>
      <c r="BC40" s="215"/>
      <c r="BD40" s="214"/>
      <c r="BE40" s="215"/>
      <c r="BF40" s="214"/>
      <c r="BG40" s="215"/>
      <c r="BH40" s="214"/>
      <c r="BI40" s="215"/>
      <c r="BJ40" s="214"/>
      <c r="BK40" s="215"/>
      <c r="BL40" s="214"/>
      <c r="BM40" s="215"/>
      <c r="BN40" s="214"/>
      <c r="BO40" s="215"/>
      <c r="BP40" s="214"/>
      <c r="BQ40" s="215"/>
      <c r="BR40" s="193"/>
    </row>
    <row r="41" spans="1:70" s="79" customFormat="1">
      <c r="A41" s="234">
        <v>40801</v>
      </c>
      <c r="B41" s="257" t="s">
        <v>551</v>
      </c>
      <c r="C41" s="211">
        <v>31</v>
      </c>
      <c r="D41" s="214"/>
      <c r="E41" s="215"/>
      <c r="F41" s="214">
        <v>400</v>
      </c>
      <c r="G41" s="215"/>
      <c r="H41" s="214"/>
      <c r="I41" s="215"/>
      <c r="J41" s="214"/>
      <c r="K41" s="215"/>
      <c r="L41" s="214"/>
      <c r="M41" s="215"/>
      <c r="N41" s="214"/>
      <c r="O41" s="215"/>
      <c r="P41" s="214"/>
      <c r="Q41" s="215"/>
      <c r="R41" s="214"/>
      <c r="S41" s="215"/>
      <c r="T41" s="214"/>
      <c r="U41" s="215"/>
      <c r="V41" s="214"/>
      <c r="W41" s="215"/>
      <c r="X41" s="214"/>
      <c r="Y41" s="215"/>
      <c r="Z41" s="214"/>
      <c r="AA41" s="215"/>
      <c r="AB41" s="214"/>
      <c r="AC41" s="215"/>
      <c r="AD41" s="214"/>
      <c r="AE41" s="215"/>
      <c r="AF41" s="214"/>
      <c r="AG41" s="215">
        <v>400</v>
      </c>
      <c r="AH41" s="214"/>
      <c r="AI41" s="215"/>
      <c r="AJ41" s="214"/>
      <c r="AK41" s="215"/>
      <c r="AL41" s="214"/>
      <c r="AM41" s="215"/>
      <c r="AN41" s="214"/>
      <c r="AO41" s="215"/>
      <c r="AP41" s="214"/>
      <c r="AQ41" s="215"/>
      <c r="AR41" s="214"/>
      <c r="AS41" s="215"/>
      <c r="AT41" s="214"/>
      <c r="AU41" s="215"/>
      <c r="AV41" s="214"/>
      <c r="AW41" s="215"/>
      <c r="AX41" s="214"/>
      <c r="AY41" s="215"/>
      <c r="AZ41" s="214"/>
      <c r="BA41" s="215"/>
      <c r="BB41" s="214"/>
      <c r="BC41" s="215"/>
      <c r="BD41" s="214"/>
      <c r="BE41" s="215"/>
      <c r="BF41" s="214"/>
      <c r="BG41" s="215"/>
      <c r="BH41" s="214"/>
      <c r="BI41" s="215"/>
      <c r="BJ41" s="214"/>
      <c r="BK41" s="215"/>
      <c r="BL41" s="214"/>
      <c r="BM41" s="215"/>
      <c r="BN41" s="214"/>
      <c r="BO41" s="215"/>
      <c r="BP41" s="214"/>
      <c r="BQ41" s="215"/>
      <c r="BR41" s="193"/>
    </row>
    <row r="42" spans="1:70" s="79" customFormat="1">
      <c r="A42" s="234">
        <v>40817</v>
      </c>
      <c r="B42" s="257" t="s">
        <v>593</v>
      </c>
      <c r="C42" s="211">
        <v>32</v>
      </c>
      <c r="D42" s="214"/>
      <c r="E42" s="215"/>
      <c r="F42" s="214"/>
      <c r="G42" s="215">
        <v>1213</v>
      </c>
      <c r="H42" s="214"/>
      <c r="I42" s="215"/>
      <c r="J42" s="214"/>
      <c r="K42" s="215"/>
      <c r="L42" s="214"/>
      <c r="M42" s="215"/>
      <c r="N42" s="214"/>
      <c r="O42" s="215"/>
      <c r="P42" s="214"/>
      <c r="Q42" s="215"/>
      <c r="R42" s="214">
        <v>1213</v>
      </c>
      <c r="S42" s="215"/>
      <c r="T42" s="214"/>
      <c r="U42" s="215"/>
      <c r="V42" s="214"/>
      <c r="W42" s="215"/>
      <c r="X42" s="214"/>
      <c r="Y42" s="215"/>
      <c r="Z42" s="214"/>
      <c r="AA42" s="215"/>
      <c r="AB42" s="214"/>
      <c r="AC42" s="215"/>
      <c r="AD42" s="214"/>
      <c r="AE42" s="215"/>
      <c r="AF42" s="214"/>
      <c r="AG42" s="215"/>
      <c r="AH42" s="214"/>
      <c r="AI42" s="215"/>
      <c r="AJ42" s="214"/>
      <c r="AK42" s="215"/>
      <c r="AL42" s="214"/>
      <c r="AM42" s="215"/>
      <c r="AN42" s="214"/>
      <c r="AO42" s="215"/>
      <c r="AP42" s="214"/>
      <c r="AQ42" s="215"/>
      <c r="AR42" s="214"/>
      <c r="AS42" s="215"/>
      <c r="AT42" s="214"/>
      <c r="AU42" s="215"/>
      <c r="AV42" s="214"/>
      <c r="AW42" s="215"/>
      <c r="AX42" s="214"/>
      <c r="AY42" s="215"/>
      <c r="AZ42" s="214"/>
      <c r="BA42" s="215"/>
      <c r="BB42" s="214"/>
      <c r="BC42" s="215"/>
      <c r="BD42" s="214"/>
      <c r="BE42" s="215"/>
      <c r="BF42" s="214"/>
      <c r="BG42" s="215"/>
      <c r="BH42" s="214"/>
      <c r="BI42" s="215"/>
      <c r="BJ42" s="214"/>
      <c r="BK42" s="215"/>
      <c r="BL42" s="214"/>
      <c r="BM42" s="215"/>
      <c r="BN42" s="214"/>
      <c r="BO42" s="215"/>
      <c r="BP42" s="214"/>
      <c r="BQ42" s="215"/>
      <c r="BR42" s="193"/>
    </row>
    <row r="43" spans="1:70" s="79" customFormat="1">
      <c r="A43" s="234">
        <v>40896</v>
      </c>
      <c r="B43" s="257" t="s">
        <v>609</v>
      </c>
      <c r="C43" s="211">
        <v>33</v>
      </c>
      <c r="D43" s="214"/>
      <c r="E43" s="215"/>
      <c r="F43" s="214"/>
      <c r="G43" s="215">
        <v>595.4</v>
      </c>
      <c r="H43" s="214"/>
      <c r="I43" s="215"/>
      <c r="J43" s="214"/>
      <c r="K43" s="215"/>
      <c r="L43" s="214">
        <v>595.4</v>
      </c>
      <c r="M43" s="215"/>
      <c r="N43" s="214"/>
      <c r="O43" s="215"/>
      <c r="P43" s="214"/>
      <c r="Q43" s="215"/>
      <c r="R43" s="214"/>
      <c r="S43" s="215"/>
      <c r="T43" s="214"/>
      <c r="U43" s="215"/>
      <c r="V43" s="214"/>
      <c r="W43" s="215"/>
      <c r="X43" s="214"/>
      <c r="Y43" s="215"/>
      <c r="Z43" s="214"/>
      <c r="AA43" s="215"/>
      <c r="AB43" s="214"/>
      <c r="AC43" s="215"/>
      <c r="AD43" s="214"/>
      <c r="AE43" s="215"/>
      <c r="AF43" s="214"/>
      <c r="AG43" s="215"/>
      <c r="AH43" s="214"/>
      <c r="AI43" s="215"/>
      <c r="AJ43" s="214"/>
      <c r="AK43" s="215"/>
      <c r="AL43" s="214"/>
      <c r="AM43" s="215"/>
      <c r="AN43" s="214"/>
      <c r="AO43" s="215"/>
      <c r="AP43" s="214"/>
      <c r="AQ43" s="215"/>
      <c r="AR43" s="214"/>
      <c r="AS43" s="215"/>
      <c r="AT43" s="214"/>
      <c r="AU43" s="215"/>
      <c r="AV43" s="214"/>
      <c r="AW43" s="215"/>
      <c r="AX43" s="214"/>
      <c r="AY43" s="215"/>
      <c r="AZ43" s="214"/>
      <c r="BA43" s="215"/>
      <c r="BB43" s="214"/>
      <c r="BC43" s="215"/>
      <c r="BD43" s="214"/>
      <c r="BE43" s="215"/>
      <c r="BF43" s="214"/>
      <c r="BG43" s="215"/>
      <c r="BH43" s="214"/>
      <c r="BI43" s="215"/>
      <c r="BJ43" s="214"/>
      <c r="BK43" s="215"/>
      <c r="BL43" s="214"/>
      <c r="BM43" s="215"/>
      <c r="BN43" s="214"/>
      <c r="BO43" s="215"/>
      <c r="BP43" s="214"/>
      <c r="BQ43" s="215"/>
      <c r="BR43" s="193"/>
    </row>
    <row r="44" spans="1:70" s="79" customFormat="1">
      <c r="A44" s="234">
        <v>40896</v>
      </c>
      <c r="B44" s="257" t="s">
        <v>610</v>
      </c>
      <c r="C44" s="211">
        <v>34</v>
      </c>
      <c r="D44" s="214"/>
      <c r="E44" s="215"/>
      <c r="F44" s="214"/>
      <c r="G44" s="215">
        <v>4000</v>
      </c>
      <c r="H44" s="214"/>
      <c r="I44" s="215"/>
      <c r="J44" s="214"/>
      <c r="K44" s="215"/>
      <c r="L44" s="214">
        <v>4000</v>
      </c>
      <c r="M44" s="215"/>
      <c r="N44" s="214"/>
      <c r="O44" s="215"/>
      <c r="P44" s="214"/>
      <c r="Q44" s="215"/>
      <c r="R44" s="214"/>
      <c r="S44" s="215"/>
      <c r="T44" s="214"/>
      <c r="U44" s="215"/>
      <c r="V44" s="214"/>
      <c r="W44" s="215"/>
      <c r="X44" s="214"/>
      <c r="Y44" s="215"/>
      <c r="Z44" s="214"/>
      <c r="AA44" s="215"/>
      <c r="AB44" s="214"/>
      <c r="AC44" s="215"/>
      <c r="AD44" s="214"/>
      <c r="AE44" s="215"/>
      <c r="AF44" s="214"/>
      <c r="AG44" s="215"/>
      <c r="AH44" s="214"/>
      <c r="AI44" s="215"/>
      <c r="AJ44" s="214"/>
      <c r="AK44" s="215"/>
      <c r="AL44" s="214"/>
      <c r="AM44" s="215"/>
      <c r="AN44" s="214"/>
      <c r="AO44" s="215"/>
      <c r="AP44" s="214"/>
      <c r="AQ44" s="215"/>
      <c r="AR44" s="214"/>
      <c r="AS44" s="215"/>
      <c r="AT44" s="214"/>
      <c r="AU44" s="215"/>
      <c r="AV44" s="214"/>
      <c r="AW44" s="215"/>
      <c r="AX44" s="214"/>
      <c r="AY44" s="215"/>
      <c r="AZ44" s="214"/>
      <c r="BA44" s="215"/>
      <c r="BB44" s="214"/>
      <c r="BC44" s="215"/>
      <c r="BD44" s="214"/>
      <c r="BE44" s="215"/>
      <c r="BF44" s="214"/>
      <c r="BG44" s="215"/>
      <c r="BH44" s="214"/>
      <c r="BI44" s="215"/>
      <c r="BJ44" s="214"/>
      <c r="BK44" s="215"/>
      <c r="BL44" s="214"/>
      <c r="BM44" s="215"/>
      <c r="BN44" s="214"/>
      <c r="BO44" s="215"/>
      <c r="BP44" s="214"/>
      <c r="BQ44" s="215"/>
      <c r="BR44" s="193"/>
    </row>
    <row r="45" spans="1:70" s="79" customFormat="1">
      <c r="A45" s="234">
        <v>40908</v>
      </c>
      <c r="B45" s="257" t="s">
        <v>615</v>
      </c>
      <c r="C45" s="211">
        <v>35</v>
      </c>
      <c r="D45" s="214"/>
      <c r="E45" s="215"/>
      <c r="F45" s="214">
        <v>1309.72</v>
      </c>
      <c r="G45" s="215"/>
      <c r="H45" s="214"/>
      <c r="I45" s="215"/>
      <c r="J45" s="214"/>
      <c r="K45" s="215"/>
      <c r="L45" s="214"/>
      <c r="M45" s="215"/>
      <c r="N45" s="214"/>
      <c r="O45" s="215"/>
      <c r="P45" s="214"/>
      <c r="Q45" s="215"/>
      <c r="R45" s="214"/>
      <c r="S45" s="215"/>
      <c r="T45" s="214"/>
      <c r="U45" s="215"/>
      <c r="V45" s="214"/>
      <c r="W45" s="215"/>
      <c r="X45" s="214"/>
      <c r="Y45" s="215"/>
      <c r="Z45" s="214"/>
      <c r="AA45" s="215"/>
      <c r="AB45" s="214"/>
      <c r="AC45" s="215"/>
      <c r="AD45" s="214"/>
      <c r="AE45" s="215"/>
      <c r="AF45" s="214"/>
      <c r="AG45" s="215"/>
      <c r="AH45" s="214"/>
      <c r="AI45" s="215"/>
      <c r="AJ45" s="214"/>
      <c r="AK45" s="215">
        <v>1309.72</v>
      </c>
      <c r="AL45" s="214"/>
      <c r="AM45" s="215"/>
      <c r="AN45" s="214"/>
      <c r="AO45" s="215"/>
      <c r="AP45" s="214"/>
      <c r="AQ45" s="215"/>
      <c r="AR45" s="214"/>
      <c r="AS45" s="215"/>
      <c r="AT45" s="214"/>
      <c r="AU45" s="215"/>
      <c r="AV45" s="214"/>
      <c r="AW45" s="215"/>
      <c r="AX45" s="214"/>
      <c r="AY45" s="215"/>
      <c r="AZ45" s="214"/>
      <c r="BA45" s="215"/>
      <c r="BB45" s="214"/>
      <c r="BC45" s="215"/>
      <c r="BD45" s="214"/>
      <c r="BE45" s="215"/>
      <c r="BF45" s="214"/>
      <c r="BG45" s="215"/>
      <c r="BH45" s="214"/>
      <c r="BI45" s="215"/>
      <c r="BJ45" s="214"/>
      <c r="BK45" s="215"/>
      <c r="BL45" s="214"/>
      <c r="BM45" s="215"/>
      <c r="BN45" s="214"/>
      <c r="BO45" s="215"/>
      <c r="BP45" s="214"/>
      <c r="BQ45" s="215"/>
      <c r="BR45" s="193"/>
    </row>
    <row r="46" spans="1:70" s="79" customFormat="1">
      <c r="A46" s="234">
        <v>40908</v>
      </c>
      <c r="B46" s="257" t="s">
        <v>616</v>
      </c>
      <c r="C46" s="211">
        <v>36</v>
      </c>
      <c r="D46" s="214"/>
      <c r="E46" s="215"/>
      <c r="F46" s="214"/>
      <c r="G46" s="215"/>
      <c r="H46" s="214"/>
      <c r="I46" s="215"/>
      <c r="J46" s="214"/>
      <c r="K46" s="215"/>
      <c r="L46" s="214"/>
      <c r="M46" s="215"/>
      <c r="N46" s="214"/>
      <c r="O46" s="215"/>
      <c r="P46" s="214"/>
      <c r="Q46" s="215"/>
      <c r="R46" s="214"/>
      <c r="S46" s="215"/>
      <c r="T46" s="214"/>
      <c r="U46" s="215"/>
      <c r="V46" s="214"/>
      <c r="W46" s="215"/>
      <c r="X46" s="214"/>
      <c r="Y46" s="215"/>
      <c r="Z46" s="214"/>
      <c r="AA46" s="215"/>
      <c r="AB46" s="214"/>
      <c r="AC46" s="215"/>
      <c r="AD46" s="214"/>
      <c r="AE46" s="215"/>
      <c r="AF46" s="214"/>
      <c r="AG46" s="215"/>
      <c r="AH46" s="214">
        <v>7690.75</v>
      </c>
      <c r="AI46" s="215"/>
      <c r="AJ46" s="214"/>
      <c r="AK46" s="215">
        <v>7690.75</v>
      </c>
      <c r="AL46" s="214"/>
      <c r="AM46" s="215"/>
      <c r="AN46" s="214"/>
      <c r="AO46" s="215"/>
      <c r="AP46" s="214"/>
      <c r="AQ46" s="215"/>
      <c r="AR46" s="214"/>
      <c r="AS46" s="215"/>
      <c r="AT46" s="214"/>
      <c r="AU46" s="215"/>
      <c r="AV46" s="214"/>
      <c r="AW46" s="215"/>
      <c r="AX46" s="214"/>
      <c r="AY46" s="215"/>
      <c r="AZ46" s="214"/>
      <c r="BA46" s="215"/>
      <c r="BB46" s="214"/>
      <c r="BC46" s="215"/>
      <c r="BD46" s="214"/>
      <c r="BE46" s="215"/>
      <c r="BF46" s="214"/>
      <c r="BG46" s="215"/>
      <c r="BH46" s="214"/>
      <c r="BI46" s="215"/>
      <c r="BJ46" s="214"/>
      <c r="BK46" s="215"/>
      <c r="BL46" s="214"/>
      <c r="BM46" s="215"/>
      <c r="BN46" s="214"/>
      <c r="BO46" s="215"/>
      <c r="BP46" s="214"/>
      <c r="BQ46" s="215"/>
      <c r="BR46" s="193"/>
    </row>
    <row r="47" spans="1:70" s="79" customFormat="1">
      <c r="A47" s="234">
        <v>40908</v>
      </c>
      <c r="B47" s="257" t="s">
        <v>634</v>
      </c>
      <c r="C47" s="211">
        <v>37</v>
      </c>
      <c r="D47" s="214"/>
      <c r="E47" s="215"/>
      <c r="F47" s="214"/>
      <c r="G47" s="215"/>
      <c r="H47" s="214">
        <v>5000</v>
      </c>
      <c r="I47" s="215"/>
      <c r="J47" s="214"/>
      <c r="K47" s="215"/>
      <c r="L47" s="214"/>
      <c r="M47" s="215"/>
      <c r="N47" s="214"/>
      <c r="O47" s="215"/>
      <c r="P47" s="214"/>
      <c r="Q47" s="215"/>
      <c r="R47" s="214"/>
      <c r="S47" s="215"/>
      <c r="T47" s="214"/>
      <c r="U47" s="215"/>
      <c r="V47" s="214"/>
      <c r="W47" s="215"/>
      <c r="X47" s="214"/>
      <c r="Y47" s="215"/>
      <c r="Z47" s="214"/>
      <c r="AA47" s="215"/>
      <c r="AB47" s="214"/>
      <c r="AC47" s="215"/>
      <c r="AD47" s="214"/>
      <c r="AE47" s="215"/>
      <c r="AF47" s="214"/>
      <c r="AG47" s="215"/>
      <c r="AH47" s="214"/>
      <c r="AI47" s="215"/>
      <c r="AJ47" s="214"/>
      <c r="AK47" s="215"/>
      <c r="AL47" s="214"/>
      <c r="AM47" s="215"/>
      <c r="AN47" s="214"/>
      <c r="AO47" s="215"/>
      <c r="AP47" s="214"/>
      <c r="AQ47" s="215"/>
      <c r="AR47" s="214"/>
      <c r="AS47" s="215"/>
      <c r="AT47" s="214"/>
      <c r="AU47" s="215"/>
      <c r="AV47" s="214"/>
      <c r="AW47" s="215"/>
      <c r="AX47" s="214"/>
      <c r="AY47" s="215"/>
      <c r="AZ47" s="214"/>
      <c r="BA47" s="215"/>
      <c r="BB47" s="214"/>
      <c r="BC47" s="215"/>
      <c r="BD47" s="214"/>
      <c r="BE47" s="215"/>
      <c r="BF47" s="214"/>
      <c r="BG47" s="215"/>
      <c r="BH47" s="214"/>
      <c r="BI47" s="215"/>
      <c r="BJ47" s="214"/>
      <c r="BK47" s="215"/>
      <c r="BL47" s="214"/>
      <c r="BM47" s="215"/>
      <c r="BN47" s="214"/>
      <c r="BO47" s="215">
        <v>5000</v>
      </c>
      <c r="BP47" s="214"/>
      <c r="BQ47" s="215"/>
      <c r="BR47" s="193"/>
    </row>
    <row r="48" spans="1:70" s="79" customFormat="1">
      <c r="A48" s="234">
        <v>40620</v>
      </c>
      <c r="B48" s="257" t="s">
        <v>636</v>
      </c>
      <c r="C48" s="211">
        <v>38</v>
      </c>
      <c r="D48" s="214"/>
      <c r="E48" s="215"/>
      <c r="F48" s="214"/>
      <c r="G48" s="215"/>
      <c r="H48" s="214"/>
      <c r="I48" s="215"/>
      <c r="J48" s="214"/>
      <c r="K48" s="215"/>
      <c r="L48" s="214"/>
      <c r="M48" s="215"/>
      <c r="N48" s="214"/>
      <c r="O48" s="215"/>
      <c r="P48" s="214"/>
      <c r="Q48" s="215"/>
      <c r="R48" s="214"/>
      <c r="S48" s="215"/>
      <c r="T48" s="214"/>
      <c r="U48" s="215"/>
      <c r="V48" s="214"/>
      <c r="W48" s="215"/>
      <c r="X48" s="214">
        <v>235</v>
      </c>
      <c r="Y48" s="215"/>
      <c r="Z48" s="214"/>
      <c r="AA48" s="215"/>
      <c r="AB48" s="214"/>
      <c r="AC48" s="215"/>
      <c r="AD48" s="214"/>
      <c r="AE48" s="215"/>
      <c r="AF48" s="214"/>
      <c r="AG48" s="215"/>
      <c r="AH48" s="214"/>
      <c r="AI48" s="215"/>
      <c r="AJ48" s="214"/>
      <c r="AK48" s="215"/>
      <c r="AL48" s="214"/>
      <c r="AM48" s="215"/>
      <c r="AN48" s="214"/>
      <c r="AO48" s="215"/>
      <c r="AP48" s="214"/>
      <c r="AQ48" s="215"/>
      <c r="AR48" s="214"/>
      <c r="AS48" s="215"/>
      <c r="AT48" s="214"/>
      <c r="AU48" s="215"/>
      <c r="AV48" s="214"/>
      <c r="AW48" s="215"/>
      <c r="AX48" s="214"/>
      <c r="AY48" s="215"/>
      <c r="AZ48" s="214"/>
      <c r="BA48" s="215"/>
      <c r="BB48" s="214"/>
      <c r="BC48" s="215"/>
      <c r="BD48" s="214"/>
      <c r="BE48" s="215"/>
      <c r="BF48" s="214"/>
      <c r="BG48" s="215"/>
      <c r="BH48" s="214"/>
      <c r="BI48" s="215"/>
      <c r="BJ48" s="214"/>
      <c r="BK48" s="215"/>
      <c r="BL48" s="214"/>
      <c r="BM48" s="215"/>
      <c r="BN48" s="214"/>
      <c r="BO48" s="215">
        <v>235</v>
      </c>
      <c r="BP48" s="214"/>
      <c r="BQ48" s="215"/>
      <c r="BR48" s="193"/>
    </row>
    <row r="49" spans="1:72" s="79" customFormat="1">
      <c r="A49" s="234"/>
      <c r="B49" s="188"/>
      <c r="C49" s="211"/>
      <c r="D49" s="214"/>
      <c r="E49" s="215"/>
      <c r="F49" s="214"/>
      <c r="G49" s="215"/>
      <c r="H49" s="214"/>
      <c r="I49" s="215"/>
      <c r="J49" s="214"/>
      <c r="K49" s="215"/>
      <c r="L49" s="214"/>
      <c r="M49" s="215"/>
      <c r="N49" s="214"/>
      <c r="O49" s="215"/>
      <c r="P49" s="214"/>
      <c r="Q49" s="215"/>
      <c r="R49" s="214"/>
      <c r="S49" s="215"/>
      <c r="T49" s="214"/>
      <c r="U49" s="215"/>
      <c r="V49" s="214"/>
      <c r="W49" s="215"/>
      <c r="X49" s="214"/>
      <c r="Y49" s="215"/>
      <c r="Z49" s="214"/>
      <c r="AA49" s="215"/>
      <c r="AB49" s="214"/>
      <c r="AC49" s="215"/>
      <c r="AD49" s="214"/>
      <c r="AE49" s="215"/>
      <c r="AF49" s="214"/>
      <c r="AG49" s="215"/>
      <c r="AH49" s="214"/>
      <c r="AI49" s="215"/>
      <c r="AJ49" s="214"/>
      <c r="AK49" s="215"/>
      <c r="AL49" s="214"/>
      <c r="AM49" s="215"/>
      <c r="AN49" s="214"/>
      <c r="AO49" s="215"/>
      <c r="AP49" s="214"/>
      <c r="AQ49" s="215"/>
      <c r="AR49" s="214"/>
      <c r="AS49" s="215"/>
      <c r="AT49" s="214"/>
      <c r="AU49" s="215"/>
      <c r="AV49" s="214"/>
      <c r="AW49" s="215"/>
      <c r="AX49" s="214"/>
      <c r="AY49" s="215"/>
      <c r="AZ49" s="214"/>
      <c r="BA49" s="215"/>
      <c r="BB49" s="214"/>
      <c r="BC49" s="215"/>
      <c r="BD49" s="214"/>
      <c r="BE49" s="215"/>
      <c r="BF49" s="214"/>
      <c r="BG49" s="215"/>
      <c r="BH49" s="214"/>
      <c r="BI49" s="215"/>
      <c r="BJ49" s="214"/>
      <c r="BK49" s="215"/>
      <c r="BL49" s="214"/>
      <c r="BM49" s="215"/>
      <c r="BN49" s="214"/>
      <c r="BO49" s="215"/>
      <c r="BP49" s="214"/>
      <c r="BQ49" s="215"/>
      <c r="BR49" s="193"/>
    </row>
    <row r="50" spans="1:72" s="79" customFormat="1">
      <c r="A50" s="234"/>
      <c r="B50" s="188"/>
      <c r="C50" s="211"/>
      <c r="D50" s="214"/>
      <c r="E50" s="215"/>
      <c r="F50" s="214"/>
      <c r="G50" s="215"/>
      <c r="H50" s="214"/>
      <c r="I50" s="215"/>
      <c r="J50" s="214"/>
      <c r="K50" s="215"/>
      <c r="L50" s="214"/>
      <c r="M50" s="215"/>
      <c r="N50" s="214"/>
      <c r="O50" s="215"/>
      <c r="P50" s="214"/>
      <c r="Q50" s="215"/>
      <c r="R50" s="214"/>
      <c r="S50" s="215"/>
      <c r="T50" s="214"/>
      <c r="U50" s="215"/>
      <c r="V50" s="214"/>
      <c r="W50" s="215"/>
      <c r="X50" s="214"/>
      <c r="Y50" s="215"/>
      <c r="Z50" s="214"/>
      <c r="AA50" s="215"/>
      <c r="AB50" s="214"/>
      <c r="AC50" s="215"/>
      <c r="AD50" s="214"/>
      <c r="AE50" s="215"/>
      <c r="AF50" s="214"/>
      <c r="AG50" s="215"/>
      <c r="AH50" s="214"/>
      <c r="AI50" s="215"/>
      <c r="AJ50" s="214"/>
      <c r="AK50" s="215"/>
      <c r="AL50" s="214"/>
      <c r="AM50" s="215"/>
      <c r="AN50" s="214"/>
      <c r="AO50" s="215"/>
      <c r="AP50" s="214"/>
      <c r="AQ50" s="215"/>
      <c r="AR50" s="214"/>
      <c r="AS50" s="215"/>
      <c r="AT50" s="214"/>
      <c r="AU50" s="215"/>
      <c r="AV50" s="214"/>
      <c r="AW50" s="215"/>
      <c r="AX50" s="214"/>
      <c r="AY50" s="215"/>
      <c r="AZ50" s="214"/>
      <c r="BA50" s="215"/>
      <c r="BB50" s="214"/>
      <c r="BC50" s="215"/>
      <c r="BD50" s="214"/>
      <c r="BE50" s="215"/>
      <c r="BF50" s="214"/>
      <c r="BG50" s="215"/>
      <c r="BH50" s="214"/>
      <c r="BI50" s="215"/>
      <c r="BJ50" s="214"/>
      <c r="BK50" s="215"/>
      <c r="BL50" s="214"/>
      <c r="BM50" s="215"/>
      <c r="BN50" s="214"/>
      <c r="BO50" s="215"/>
      <c r="BP50" s="214"/>
      <c r="BQ50" s="215"/>
      <c r="BR50" s="193"/>
    </row>
    <row r="51" spans="1:72" s="79" customFormat="1">
      <c r="A51" s="234"/>
      <c r="B51" s="188"/>
      <c r="C51" s="211"/>
      <c r="D51" s="214"/>
      <c r="E51" s="215"/>
      <c r="F51" s="214"/>
      <c r="G51" s="215"/>
      <c r="H51" s="214"/>
      <c r="I51" s="215"/>
      <c r="J51" s="214"/>
      <c r="K51" s="215"/>
      <c r="L51" s="214"/>
      <c r="M51" s="215"/>
      <c r="N51" s="214"/>
      <c r="O51" s="215"/>
      <c r="P51" s="214"/>
      <c r="Q51" s="215"/>
      <c r="R51" s="214"/>
      <c r="S51" s="215"/>
      <c r="T51" s="214"/>
      <c r="U51" s="215"/>
      <c r="V51" s="214"/>
      <c r="W51" s="215"/>
      <c r="X51" s="214"/>
      <c r="Y51" s="215"/>
      <c r="Z51" s="214"/>
      <c r="AA51" s="215"/>
      <c r="AB51" s="214"/>
      <c r="AC51" s="215"/>
      <c r="AD51" s="214"/>
      <c r="AE51" s="215"/>
      <c r="AF51" s="214"/>
      <c r="AG51" s="215"/>
      <c r="AH51" s="214"/>
      <c r="AI51" s="215"/>
      <c r="AJ51" s="214"/>
      <c r="AK51" s="215"/>
      <c r="AL51" s="214"/>
      <c r="AM51" s="215"/>
      <c r="AN51" s="214"/>
      <c r="AO51" s="215"/>
      <c r="AP51" s="214"/>
      <c r="AQ51" s="215"/>
      <c r="AR51" s="214"/>
      <c r="AS51" s="215"/>
      <c r="AT51" s="214"/>
      <c r="AU51" s="215"/>
      <c r="AV51" s="214"/>
      <c r="AW51" s="215"/>
      <c r="AX51" s="214"/>
      <c r="AY51" s="215"/>
      <c r="AZ51" s="214"/>
      <c r="BA51" s="215"/>
      <c r="BB51" s="214"/>
      <c r="BC51" s="215"/>
      <c r="BD51" s="214"/>
      <c r="BE51" s="215"/>
      <c r="BF51" s="214"/>
      <c r="BG51" s="215"/>
      <c r="BH51" s="214"/>
      <c r="BI51" s="215"/>
      <c r="BJ51" s="214"/>
      <c r="BK51" s="215"/>
      <c r="BL51" s="214"/>
      <c r="BM51" s="215"/>
      <c r="BN51" s="214"/>
      <c r="BO51" s="215"/>
      <c r="BP51" s="214"/>
      <c r="BQ51" s="215"/>
      <c r="BR51" s="193"/>
    </row>
    <row r="52" spans="1:72" s="79" customFormat="1">
      <c r="A52" s="234"/>
      <c r="B52" s="188"/>
      <c r="C52" s="211"/>
      <c r="D52" s="214"/>
      <c r="E52" s="215"/>
      <c r="F52" s="214"/>
      <c r="G52" s="215"/>
      <c r="H52" s="214"/>
      <c r="I52" s="215"/>
      <c r="J52" s="214"/>
      <c r="K52" s="215"/>
      <c r="L52" s="214"/>
      <c r="M52" s="215"/>
      <c r="N52" s="214"/>
      <c r="O52" s="215"/>
      <c r="P52" s="214"/>
      <c r="Q52" s="215"/>
      <c r="R52" s="214"/>
      <c r="S52" s="215"/>
      <c r="T52" s="214"/>
      <c r="U52" s="215"/>
      <c r="V52" s="214"/>
      <c r="W52" s="215"/>
      <c r="X52" s="214"/>
      <c r="Y52" s="215"/>
      <c r="Z52" s="214"/>
      <c r="AA52" s="215"/>
      <c r="AB52" s="214"/>
      <c r="AC52" s="215"/>
      <c r="AD52" s="214"/>
      <c r="AE52" s="215"/>
      <c r="AF52" s="214"/>
      <c r="AG52" s="215"/>
      <c r="AH52" s="214"/>
      <c r="AI52" s="215"/>
      <c r="AJ52" s="214"/>
      <c r="AK52" s="215"/>
      <c r="AL52" s="214"/>
      <c r="AM52" s="215"/>
      <c r="AN52" s="214"/>
      <c r="AO52" s="215"/>
      <c r="AP52" s="214"/>
      <c r="AQ52" s="215"/>
      <c r="AR52" s="214"/>
      <c r="AS52" s="215"/>
      <c r="AT52" s="214"/>
      <c r="AU52" s="215"/>
      <c r="AV52" s="214"/>
      <c r="AW52" s="215"/>
      <c r="AX52" s="214"/>
      <c r="AY52" s="215"/>
      <c r="AZ52" s="214"/>
      <c r="BA52" s="215"/>
      <c r="BB52" s="214"/>
      <c r="BC52" s="215"/>
      <c r="BD52" s="214"/>
      <c r="BE52" s="215"/>
      <c r="BF52" s="214"/>
      <c r="BG52" s="215"/>
      <c r="BH52" s="214"/>
      <c r="BI52" s="215"/>
      <c r="BJ52" s="214"/>
      <c r="BK52" s="215"/>
      <c r="BL52" s="214"/>
      <c r="BM52" s="215"/>
      <c r="BN52" s="214"/>
      <c r="BO52" s="215"/>
      <c r="BP52" s="214"/>
      <c r="BQ52" s="215"/>
      <c r="BR52" s="193"/>
    </row>
    <row r="53" spans="1:72" s="79" customFormat="1">
      <c r="A53" s="234"/>
      <c r="B53" s="188"/>
      <c r="C53" s="211"/>
      <c r="D53" s="214"/>
      <c r="E53" s="215"/>
      <c r="F53" s="214"/>
      <c r="G53" s="215"/>
      <c r="H53" s="214"/>
      <c r="I53" s="215"/>
      <c r="J53" s="214"/>
      <c r="K53" s="215"/>
      <c r="L53" s="214"/>
      <c r="M53" s="215"/>
      <c r="N53" s="214"/>
      <c r="O53" s="215"/>
      <c r="P53" s="214"/>
      <c r="Q53" s="215"/>
      <c r="R53" s="214"/>
      <c r="S53" s="215"/>
      <c r="T53" s="214"/>
      <c r="U53" s="215"/>
      <c r="V53" s="214"/>
      <c r="W53" s="215"/>
      <c r="X53" s="214"/>
      <c r="Y53" s="215"/>
      <c r="Z53" s="214"/>
      <c r="AA53" s="215"/>
      <c r="AB53" s="214"/>
      <c r="AC53" s="215"/>
      <c r="AD53" s="214"/>
      <c r="AE53" s="215"/>
      <c r="AF53" s="214"/>
      <c r="AG53" s="215"/>
      <c r="AH53" s="214"/>
      <c r="AI53" s="215"/>
      <c r="AJ53" s="214"/>
      <c r="AK53" s="215"/>
      <c r="AL53" s="214"/>
      <c r="AM53" s="215"/>
      <c r="AN53" s="214"/>
      <c r="AO53" s="215"/>
      <c r="AP53" s="214"/>
      <c r="AQ53" s="215"/>
      <c r="AR53" s="214"/>
      <c r="AS53" s="215"/>
      <c r="AT53" s="214"/>
      <c r="AU53" s="215"/>
      <c r="AV53" s="214"/>
      <c r="AW53" s="215"/>
      <c r="AX53" s="214"/>
      <c r="AY53" s="215"/>
      <c r="AZ53" s="214"/>
      <c r="BA53" s="215"/>
      <c r="BB53" s="214"/>
      <c r="BC53" s="215"/>
      <c r="BD53" s="214"/>
      <c r="BE53" s="215"/>
      <c r="BF53" s="214"/>
      <c r="BG53" s="215"/>
      <c r="BH53" s="214"/>
      <c r="BI53" s="215"/>
      <c r="BJ53" s="214"/>
      <c r="BK53" s="215"/>
      <c r="BL53" s="214"/>
      <c r="BM53" s="215"/>
      <c r="BN53" s="214"/>
      <c r="BO53" s="215"/>
      <c r="BP53" s="214"/>
      <c r="BQ53" s="215"/>
      <c r="BR53" s="193"/>
    </row>
    <row r="54" spans="1:72" s="79" customFormat="1">
      <c r="A54" s="234"/>
      <c r="B54" s="188"/>
      <c r="C54" s="211"/>
      <c r="D54" s="214"/>
      <c r="E54" s="215"/>
      <c r="F54" s="214"/>
      <c r="G54" s="215"/>
      <c r="H54" s="214"/>
      <c r="I54" s="215"/>
      <c r="J54" s="214"/>
      <c r="K54" s="215"/>
      <c r="L54" s="214"/>
      <c r="M54" s="215"/>
      <c r="N54" s="214"/>
      <c r="O54" s="215"/>
      <c r="P54" s="214"/>
      <c r="Q54" s="215"/>
      <c r="R54" s="214"/>
      <c r="S54" s="215"/>
      <c r="T54" s="214"/>
      <c r="U54" s="215"/>
      <c r="V54" s="214"/>
      <c r="W54" s="215"/>
      <c r="X54" s="214"/>
      <c r="Y54" s="215"/>
      <c r="Z54" s="214"/>
      <c r="AA54" s="215"/>
      <c r="AB54" s="214"/>
      <c r="AC54" s="215"/>
      <c r="AD54" s="214"/>
      <c r="AE54" s="215"/>
      <c r="AF54" s="214"/>
      <c r="AG54" s="215"/>
      <c r="AH54" s="214"/>
      <c r="AI54" s="215"/>
      <c r="AJ54" s="214"/>
      <c r="AK54" s="215"/>
      <c r="AL54" s="214"/>
      <c r="AM54" s="215"/>
      <c r="AN54" s="214"/>
      <c r="AO54" s="215"/>
      <c r="AP54" s="214"/>
      <c r="AQ54" s="215"/>
      <c r="AR54" s="214"/>
      <c r="AS54" s="215"/>
      <c r="AT54" s="214"/>
      <c r="AU54" s="215"/>
      <c r="AV54" s="214"/>
      <c r="AW54" s="215"/>
      <c r="AX54" s="214"/>
      <c r="AY54" s="215"/>
      <c r="AZ54" s="214"/>
      <c r="BA54" s="215"/>
      <c r="BB54" s="214"/>
      <c r="BC54" s="215"/>
      <c r="BD54" s="214"/>
      <c r="BE54" s="215"/>
      <c r="BF54" s="214"/>
      <c r="BG54" s="215"/>
      <c r="BH54" s="214"/>
      <c r="BI54" s="215"/>
      <c r="BJ54" s="214"/>
      <c r="BK54" s="215"/>
      <c r="BL54" s="214"/>
      <c r="BM54" s="215"/>
      <c r="BN54" s="214"/>
      <c r="BO54" s="215"/>
      <c r="BP54" s="214"/>
      <c r="BQ54" s="215"/>
      <c r="BR54" s="193"/>
    </row>
    <row r="55" spans="1:72" s="79" customFormat="1">
      <c r="A55" s="234"/>
      <c r="B55" s="188"/>
      <c r="C55" s="211"/>
      <c r="D55" s="214"/>
      <c r="E55" s="215"/>
      <c r="F55" s="214"/>
      <c r="G55" s="215"/>
      <c r="H55" s="214"/>
      <c r="I55" s="215"/>
      <c r="J55" s="214"/>
      <c r="K55" s="215"/>
      <c r="L55" s="214"/>
      <c r="M55" s="215"/>
      <c r="N55" s="214"/>
      <c r="O55" s="215"/>
      <c r="P55" s="214"/>
      <c r="Q55" s="215"/>
      <c r="R55" s="214"/>
      <c r="S55" s="215"/>
      <c r="T55" s="214"/>
      <c r="U55" s="215"/>
      <c r="V55" s="214"/>
      <c r="W55" s="215"/>
      <c r="X55" s="214"/>
      <c r="Y55" s="215"/>
      <c r="Z55" s="214"/>
      <c r="AA55" s="215"/>
      <c r="AB55" s="214"/>
      <c r="AC55" s="215"/>
      <c r="AD55" s="214"/>
      <c r="AE55" s="215"/>
      <c r="AF55" s="214"/>
      <c r="AG55" s="215"/>
      <c r="AH55" s="214"/>
      <c r="AI55" s="215"/>
      <c r="AJ55" s="214"/>
      <c r="AK55" s="215"/>
      <c r="AL55" s="214"/>
      <c r="AM55" s="215"/>
      <c r="AN55" s="214"/>
      <c r="AO55" s="215"/>
      <c r="AP55" s="214"/>
      <c r="AQ55" s="215"/>
      <c r="AR55" s="214"/>
      <c r="AS55" s="215"/>
      <c r="AT55" s="214"/>
      <c r="AU55" s="215"/>
      <c r="AV55" s="214"/>
      <c r="AW55" s="215"/>
      <c r="AX55" s="214"/>
      <c r="AY55" s="215"/>
      <c r="AZ55" s="214"/>
      <c r="BA55" s="215"/>
      <c r="BB55" s="214"/>
      <c r="BC55" s="215"/>
      <c r="BD55" s="214"/>
      <c r="BE55" s="215"/>
      <c r="BF55" s="214"/>
      <c r="BG55" s="215"/>
      <c r="BH55" s="214"/>
      <c r="BI55" s="215"/>
      <c r="BJ55" s="214"/>
      <c r="BK55" s="215"/>
      <c r="BL55" s="214"/>
      <c r="BM55" s="215"/>
      <c r="BN55" s="214"/>
      <c r="BO55" s="215"/>
      <c r="BP55" s="214"/>
      <c r="BQ55" s="215"/>
      <c r="BR55" s="193"/>
    </row>
    <row r="56" spans="1:72" s="79" customFormat="1">
      <c r="A56" s="234"/>
      <c r="B56" s="188"/>
      <c r="C56" s="211"/>
      <c r="D56" s="214"/>
      <c r="E56" s="215"/>
      <c r="F56" s="214"/>
      <c r="G56" s="215"/>
      <c r="H56" s="214"/>
      <c r="I56" s="215"/>
      <c r="J56" s="214"/>
      <c r="K56" s="215"/>
      <c r="L56" s="214"/>
      <c r="M56" s="215"/>
      <c r="N56" s="214"/>
      <c r="O56" s="215"/>
      <c r="P56" s="214"/>
      <c r="Q56" s="215"/>
      <c r="R56" s="214"/>
      <c r="S56" s="215"/>
      <c r="T56" s="214"/>
      <c r="U56" s="215"/>
      <c r="V56" s="214"/>
      <c r="W56" s="215"/>
      <c r="X56" s="214"/>
      <c r="Y56" s="215"/>
      <c r="Z56" s="214"/>
      <c r="AA56" s="215"/>
      <c r="AB56" s="214"/>
      <c r="AC56" s="215"/>
      <c r="AD56" s="214"/>
      <c r="AE56" s="215"/>
      <c r="AF56" s="214"/>
      <c r="AG56" s="215"/>
      <c r="AH56" s="214"/>
      <c r="AI56" s="215"/>
      <c r="AJ56" s="214"/>
      <c r="AK56" s="215"/>
      <c r="AL56" s="214"/>
      <c r="AM56" s="215"/>
      <c r="AN56" s="214"/>
      <c r="AO56" s="215"/>
      <c r="AP56" s="214"/>
      <c r="AQ56" s="215"/>
      <c r="AR56" s="214"/>
      <c r="AS56" s="215"/>
      <c r="AT56" s="214"/>
      <c r="AU56" s="215"/>
      <c r="AV56" s="214"/>
      <c r="AW56" s="215"/>
      <c r="AX56" s="214"/>
      <c r="AY56" s="215"/>
      <c r="AZ56" s="214"/>
      <c r="BA56" s="215"/>
      <c r="BB56" s="214"/>
      <c r="BC56" s="215"/>
      <c r="BD56" s="214"/>
      <c r="BE56" s="215"/>
      <c r="BF56" s="214"/>
      <c r="BG56" s="215"/>
      <c r="BH56" s="214"/>
      <c r="BI56" s="215"/>
      <c r="BJ56" s="214"/>
      <c r="BK56" s="215"/>
      <c r="BL56" s="214"/>
      <c r="BM56" s="215"/>
      <c r="BN56" s="214"/>
      <c r="BO56" s="215"/>
      <c r="BP56" s="214"/>
      <c r="BQ56" s="215"/>
      <c r="BR56" s="193"/>
    </row>
    <row r="57" spans="1:72" s="79" customFormat="1">
      <c r="A57" s="234"/>
      <c r="B57" s="188"/>
      <c r="C57" s="211"/>
      <c r="D57" s="214"/>
      <c r="E57" s="215"/>
      <c r="F57" s="214"/>
      <c r="G57" s="215"/>
      <c r="H57" s="214"/>
      <c r="I57" s="215"/>
      <c r="J57" s="214"/>
      <c r="K57" s="215"/>
      <c r="L57" s="214"/>
      <c r="M57" s="215"/>
      <c r="N57" s="214"/>
      <c r="O57" s="215"/>
      <c r="P57" s="214"/>
      <c r="Q57" s="215"/>
      <c r="R57" s="214"/>
      <c r="S57" s="215"/>
      <c r="T57" s="214"/>
      <c r="U57" s="215"/>
      <c r="V57" s="214"/>
      <c r="W57" s="215"/>
      <c r="X57" s="214"/>
      <c r="Y57" s="215"/>
      <c r="Z57" s="214"/>
      <c r="AA57" s="215"/>
      <c r="AB57" s="214"/>
      <c r="AC57" s="215"/>
      <c r="AD57" s="214"/>
      <c r="AE57" s="215"/>
      <c r="AF57" s="214"/>
      <c r="AG57" s="215"/>
      <c r="AH57" s="214"/>
      <c r="AI57" s="215"/>
      <c r="AJ57" s="214"/>
      <c r="AK57" s="215"/>
      <c r="AL57" s="214"/>
      <c r="AM57" s="215"/>
      <c r="AN57" s="214"/>
      <c r="AO57" s="215"/>
      <c r="AP57" s="214"/>
      <c r="AQ57" s="215"/>
      <c r="AR57" s="214"/>
      <c r="AS57" s="215"/>
      <c r="AT57" s="214"/>
      <c r="AU57" s="215"/>
      <c r="AV57" s="214"/>
      <c r="AW57" s="215"/>
      <c r="AX57" s="214"/>
      <c r="AY57" s="215"/>
      <c r="AZ57" s="214"/>
      <c r="BA57" s="215"/>
      <c r="BB57" s="214"/>
      <c r="BC57" s="215"/>
      <c r="BD57" s="214"/>
      <c r="BE57" s="215"/>
      <c r="BF57" s="214"/>
      <c r="BG57" s="215"/>
      <c r="BH57" s="214"/>
      <c r="BI57" s="215"/>
      <c r="BJ57" s="214"/>
      <c r="BK57" s="215"/>
      <c r="BL57" s="214"/>
      <c r="BM57" s="215"/>
      <c r="BN57" s="214"/>
      <c r="BO57" s="215"/>
      <c r="BP57" s="214"/>
      <c r="BQ57" s="215"/>
      <c r="BR57" s="193"/>
    </row>
    <row r="58" spans="1:72" s="79" customFormat="1">
      <c r="A58" s="234"/>
      <c r="B58" s="188"/>
      <c r="C58" s="211"/>
      <c r="D58" s="214"/>
      <c r="E58" s="215"/>
      <c r="F58" s="214"/>
      <c r="G58" s="215"/>
      <c r="H58" s="214"/>
      <c r="I58" s="215"/>
      <c r="J58" s="214"/>
      <c r="K58" s="215"/>
      <c r="L58" s="214"/>
      <c r="M58" s="215"/>
      <c r="N58" s="214"/>
      <c r="O58" s="215"/>
      <c r="P58" s="214"/>
      <c r="Q58" s="215"/>
      <c r="R58" s="214"/>
      <c r="S58" s="215"/>
      <c r="T58" s="214"/>
      <c r="U58" s="215"/>
      <c r="V58" s="214"/>
      <c r="W58" s="215"/>
      <c r="X58" s="214"/>
      <c r="Y58" s="215"/>
      <c r="Z58" s="214"/>
      <c r="AA58" s="215"/>
      <c r="AB58" s="214"/>
      <c r="AC58" s="215"/>
      <c r="AD58" s="214"/>
      <c r="AE58" s="215"/>
      <c r="AF58" s="214"/>
      <c r="AG58" s="215"/>
      <c r="AH58" s="214"/>
      <c r="AI58" s="215"/>
      <c r="AJ58" s="214"/>
      <c r="AK58" s="215"/>
      <c r="AL58" s="214"/>
      <c r="AM58" s="215"/>
      <c r="AN58" s="214"/>
      <c r="AO58" s="215"/>
      <c r="AP58" s="214"/>
      <c r="AQ58" s="215"/>
      <c r="AR58" s="214"/>
      <c r="AS58" s="215"/>
      <c r="AT58" s="214"/>
      <c r="AU58" s="215"/>
      <c r="AV58" s="214"/>
      <c r="AW58" s="215"/>
      <c r="AX58" s="214"/>
      <c r="AY58" s="215"/>
      <c r="AZ58" s="214"/>
      <c r="BA58" s="215"/>
      <c r="BB58" s="214"/>
      <c r="BC58" s="215"/>
      <c r="BD58" s="214"/>
      <c r="BE58" s="215"/>
      <c r="BF58" s="214"/>
      <c r="BG58" s="215"/>
      <c r="BH58" s="214"/>
      <c r="BI58" s="215"/>
      <c r="BJ58" s="214"/>
      <c r="BK58" s="215"/>
      <c r="BL58" s="214"/>
      <c r="BM58" s="215"/>
      <c r="BN58" s="214"/>
      <c r="BO58" s="215"/>
      <c r="BP58" s="214"/>
      <c r="BQ58" s="215"/>
      <c r="BR58" s="193"/>
    </row>
    <row r="59" spans="1:72" s="79" customFormat="1">
      <c r="A59" s="234"/>
      <c r="B59" s="188"/>
      <c r="C59" s="211"/>
      <c r="D59" s="214"/>
      <c r="E59" s="215"/>
      <c r="F59" s="214"/>
      <c r="G59" s="215"/>
      <c r="H59" s="214"/>
      <c r="I59" s="215"/>
      <c r="J59" s="214"/>
      <c r="K59" s="215"/>
      <c r="L59" s="214"/>
      <c r="M59" s="215"/>
      <c r="N59" s="214"/>
      <c r="O59" s="215"/>
      <c r="P59" s="214"/>
      <c r="Q59" s="215"/>
      <c r="R59" s="214"/>
      <c r="S59" s="215"/>
      <c r="T59" s="214"/>
      <c r="U59" s="215"/>
      <c r="V59" s="214"/>
      <c r="W59" s="215"/>
      <c r="X59" s="214"/>
      <c r="Y59" s="215"/>
      <c r="Z59" s="214"/>
      <c r="AA59" s="215"/>
      <c r="AB59" s="214"/>
      <c r="AC59" s="215"/>
      <c r="AD59" s="214"/>
      <c r="AE59" s="215"/>
      <c r="AF59" s="214"/>
      <c r="AG59" s="215"/>
      <c r="AH59" s="214"/>
      <c r="AI59" s="215"/>
      <c r="AJ59" s="214"/>
      <c r="AK59" s="215"/>
      <c r="AL59" s="214"/>
      <c r="AM59" s="215"/>
      <c r="AN59" s="214"/>
      <c r="AO59" s="215"/>
      <c r="AP59" s="214"/>
      <c r="AQ59" s="215"/>
      <c r="AR59" s="214"/>
      <c r="AS59" s="215"/>
      <c r="AT59" s="214"/>
      <c r="AU59" s="215"/>
      <c r="AV59" s="214"/>
      <c r="AW59" s="215"/>
      <c r="AX59" s="214"/>
      <c r="AY59" s="215"/>
      <c r="AZ59" s="214"/>
      <c r="BA59" s="215"/>
      <c r="BB59" s="214"/>
      <c r="BC59" s="215"/>
      <c r="BD59" s="214"/>
      <c r="BE59" s="215"/>
      <c r="BF59" s="214"/>
      <c r="BG59" s="215"/>
      <c r="BH59" s="214"/>
      <c r="BI59" s="215"/>
      <c r="BJ59" s="214"/>
      <c r="BK59" s="215"/>
      <c r="BL59" s="214"/>
      <c r="BM59" s="215"/>
      <c r="BN59" s="214"/>
      <c r="BO59" s="215"/>
      <c r="BP59" s="214"/>
      <c r="BQ59" s="215"/>
      <c r="BR59" s="193"/>
    </row>
    <row r="60" spans="1:72" s="79" customFormat="1">
      <c r="A60" s="234"/>
      <c r="B60" s="188"/>
      <c r="C60" s="211"/>
      <c r="D60" s="214"/>
      <c r="E60" s="215"/>
      <c r="F60" s="214"/>
      <c r="G60" s="215"/>
      <c r="H60" s="214"/>
      <c r="I60" s="215"/>
      <c r="J60" s="214"/>
      <c r="K60" s="215"/>
      <c r="L60" s="214"/>
      <c r="M60" s="215"/>
      <c r="N60" s="214"/>
      <c r="O60" s="215"/>
      <c r="P60" s="214"/>
      <c r="Q60" s="215"/>
      <c r="R60" s="214"/>
      <c r="S60" s="215"/>
      <c r="T60" s="214"/>
      <c r="U60" s="215"/>
      <c r="V60" s="214"/>
      <c r="W60" s="215"/>
      <c r="X60" s="214"/>
      <c r="Y60" s="215"/>
      <c r="Z60" s="214"/>
      <c r="AA60" s="215"/>
      <c r="AB60" s="214"/>
      <c r="AC60" s="215"/>
      <c r="AD60" s="214"/>
      <c r="AE60" s="215"/>
      <c r="AF60" s="214"/>
      <c r="AG60" s="215"/>
      <c r="AH60" s="214"/>
      <c r="AI60" s="215"/>
      <c r="AJ60" s="214"/>
      <c r="AK60" s="215"/>
      <c r="AL60" s="214"/>
      <c r="AM60" s="215"/>
      <c r="AN60" s="214"/>
      <c r="AO60" s="215"/>
      <c r="AP60" s="214"/>
      <c r="AQ60" s="215"/>
      <c r="AR60" s="214"/>
      <c r="AS60" s="215"/>
      <c r="AT60" s="214"/>
      <c r="AU60" s="215"/>
      <c r="AV60" s="214"/>
      <c r="AW60" s="215"/>
      <c r="AX60" s="214"/>
      <c r="AY60" s="215"/>
      <c r="AZ60" s="214"/>
      <c r="BA60" s="215"/>
      <c r="BB60" s="214"/>
      <c r="BC60" s="215"/>
      <c r="BD60" s="214"/>
      <c r="BE60" s="215"/>
      <c r="BF60" s="214"/>
      <c r="BG60" s="215"/>
      <c r="BH60" s="214"/>
      <c r="BI60" s="215"/>
      <c r="BJ60" s="214"/>
      <c r="BK60" s="215"/>
      <c r="BL60" s="214"/>
      <c r="BM60" s="215"/>
      <c r="BN60" s="214"/>
      <c r="BO60" s="215"/>
      <c r="BP60" s="214"/>
      <c r="BQ60" s="215"/>
      <c r="BR60" s="193"/>
    </row>
    <row r="61" spans="1:72" s="79" customFormat="1">
      <c r="A61" s="234"/>
      <c r="B61" s="188"/>
      <c r="C61" s="186"/>
      <c r="D61" s="214"/>
      <c r="E61" s="215"/>
      <c r="F61" s="214"/>
      <c r="G61" s="215"/>
      <c r="H61" s="214"/>
      <c r="I61" s="215"/>
      <c r="J61" s="214"/>
      <c r="K61" s="215"/>
      <c r="L61" s="214"/>
      <c r="M61" s="215"/>
      <c r="N61" s="214"/>
      <c r="O61" s="215"/>
      <c r="P61" s="214"/>
      <c r="Q61" s="215"/>
      <c r="R61" s="214"/>
      <c r="S61" s="215"/>
      <c r="T61" s="214"/>
      <c r="U61" s="215"/>
      <c r="V61" s="214"/>
      <c r="W61" s="215"/>
      <c r="X61" s="214"/>
      <c r="Y61" s="215"/>
      <c r="Z61" s="214"/>
      <c r="AA61" s="215"/>
      <c r="AB61" s="214"/>
      <c r="AC61" s="215"/>
      <c r="AD61" s="214"/>
      <c r="AE61" s="215"/>
      <c r="AF61" s="214"/>
      <c r="AG61" s="215"/>
      <c r="AH61" s="214"/>
      <c r="AI61" s="215"/>
      <c r="AJ61" s="214"/>
      <c r="AK61" s="215"/>
      <c r="AL61" s="214"/>
      <c r="AM61" s="215"/>
      <c r="AN61" s="214"/>
      <c r="AO61" s="215"/>
      <c r="AP61" s="214"/>
      <c r="AQ61" s="215"/>
      <c r="AR61" s="214"/>
      <c r="AS61" s="215"/>
      <c r="AT61" s="214"/>
      <c r="AU61" s="215"/>
      <c r="AV61" s="214"/>
      <c r="AW61" s="215"/>
      <c r="AX61" s="214"/>
      <c r="AY61" s="215"/>
      <c r="AZ61" s="214"/>
      <c r="BA61" s="215"/>
      <c r="BB61" s="214"/>
      <c r="BC61" s="215"/>
      <c r="BD61" s="214"/>
      <c r="BE61" s="215"/>
      <c r="BF61" s="214"/>
      <c r="BG61" s="215"/>
      <c r="BH61" s="214"/>
      <c r="BI61" s="215"/>
      <c r="BJ61" s="214"/>
      <c r="BK61" s="215"/>
      <c r="BL61" s="214"/>
      <c r="BM61" s="215"/>
      <c r="BN61" s="214"/>
      <c r="BO61" s="215"/>
      <c r="BP61" s="214"/>
      <c r="BQ61" s="215"/>
      <c r="BR61" s="193">
        <f t="shared" si="0"/>
        <v>0</v>
      </c>
    </row>
    <row r="62" spans="1:72" s="79" customFormat="1">
      <c r="A62" s="234"/>
      <c r="B62" s="188"/>
      <c r="C62" s="211"/>
      <c r="D62" s="214"/>
      <c r="E62" s="215"/>
      <c r="F62" s="214"/>
      <c r="G62" s="215"/>
      <c r="H62" s="214"/>
      <c r="I62" s="215"/>
      <c r="J62" s="214"/>
      <c r="K62" s="215"/>
      <c r="L62" s="214"/>
      <c r="M62" s="215"/>
      <c r="N62" s="214"/>
      <c r="O62" s="215"/>
      <c r="P62" s="214"/>
      <c r="Q62" s="215"/>
      <c r="R62" s="214"/>
      <c r="S62" s="215"/>
      <c r="T62" s="214"/>
      <c r="U62" s="215"/>
      <c r="V62" s="214"/>
      <c r="W62" s="215"/>
      <c r="X62" s="214"/>
      <c r="Y62" s="215"/>
      <c r="Z62" s="214"/>
      <c r="AA62" s="215"/>
      <c r="AB62" s="214"/>
      <c r="AC62" s="215"/>
      <c r="AD62" s="214"/>
      <c r="AE62" s="215"/>
      <c r="AF62" s="214"/>
      <c r="AG62" s="215"/>
      <c r="AH62" s="214"/>
      <c r="AI62" s="215"/>
      <c r="AJ62" s="214"/>
      <c r="AK62" s="215"/>
      <c r="AL62" s="214"/>
      <c r="AM62" s="215"/>
      <c r="AN62" s="214"/>
      <c r="AO62" s="215"/>
      <c r="AP62" s="214"/>
      <c r="AQ62" s="215"/>
      <c r="AR62" s="214"/>
      <c r="AS62" s="215"/>
      <c r="AT62" s="214"/>
      <c r="AU62" s="215"/>
      <c r="AV62" s="214"/>
      <c r="AW62" s="215"/>
      <c r="AX62" s="214"/>
      <c r="AY62" s="215"/>
      <c r="AZ62" s="214"/>
      <c r="BA62" s="215"/>
      <c r="BB62" s="214"/>
      <c r="BC62" s="215"/>
      <c r="BD62" s="214"/>
      <c r="BE62" s="215"/>
      <c r="BF62" s="214"/>
      <c r="BG62" s="215"/>
      <c r="BH62" s="214"/>
      <c r="BI62" s="215"/>
      <c r="BJ62" s="214"/>
      <c r="BK62" s="215"/>
      <c r="BL62" s="214"/>
      <c r="BM62" s="215"/>
      <c r="BN62" s="214"/>
      <c r="BO62" s="215"/>
      <c r="BP62" s="214"/>
      <c r="BQ62" s="215"/>
      <c r="BR62" s="193">
        <f t="shared" si="0"/>
        <v>0</v>
      </c>
    </row>
    <row r="63" spans="1:72" s="79" customFormat="1">
      <c r="A63" s="234"/>
      <c r="B63" s="188"/>
      <c r="C63" s="211"/>
      <c r="D63" s="214"/>
      <c r="E63" s="215"/>
      <c r="F63" s="214"/>
      <c r="G63" s="215"/>
      <c r="H63" s="214"/>
      <c r="I63" s="215"/>
      <c r="J63" s="214"/>
      <c r="K63" s="215"/>
      <c r="L63" s="214"/>
      <c r="M63" s="215"/>
      <c r="N63" s="214"/>
      <c r="O63" s="215"/>
      <c r="P63" s="214"/>
      <c r="Q63" s="215"/>
      <c r="R63" s="214"/>
      <c r="S63" s="215"/>
      <c r="T63" s="214"/>
      <c r="U63" s="215"/>
      <c r="V63" s="214"/>
      <c r="W63" s="215"/>
      <c r="X63" s="214"/>
      <c r="Y63" s="215"/>
      <c r="Z63" s="214"/>
      <c r="AA63" s="215"/>
      <c r="AB63" s="214"/>
      <c r="AC63" s="215"/>
      <c r="AD63" s="214"/>
      <c r="AE63" s="215"/>
      <c r="AF63" s="214"/>
      <c r="AG63" s="215"/>
      <c r="AH63" s="214"/>
      <c r="AI63" s="215"/>
      <c r="AJ63" s="214"/>
      <c r="AK63" s="215"/>
      <c r="AL63" s="214"/>
      <c r="AM63" s="215"/>
      <c r="AN63" s="214"/>
      <c r="AO63" s="215"/>
      <c r="AP63" s="214"/>
      <c r="AQ63" s="215"/>
      <c r="AR63" s="214"/>
      <c r="AS63" s="215"/>
      <c r="AT63" s="214"/>
      <c r="AU63" s="215"/>
      <c r="AV63" s="214"/>
      <c r="AW63" s="215"/>
      <c r="AX63" s="214"/>
      <c r="AY63" s="215"/>
      <c r="AZ63" s="214"/>
      <c r="BA63" s="215"/>
      <c r="BB63" s="214"/>
      <c r="BC63" s="215"/>
      <c r="BD63" s="214"/>
      <c r="BE63" s="215"/>
      <c r="BF63" s="214"/>
      <c r="BG63" s="215"/>
      <c r="BH63" s="214"/>
      <c r="BI63" s="215"/>
      <c r="BJ63" s="214"/>
      <c r="BK63" s="215"/>
      <c r="BL63" s="214"/>
      <c r="BM63" s="215"/>
      <c r="BN63" s="214"/>
      <c r="BO63" s="215"/>
      <c r="BP63" s="214"/>
      <c r="BQ63" s="215"/>
      <c r="BR63" s="193">
        <f t="shared" si="0"/>
        <v>0</v>
      </c>
      <c r="BS63" s="194"/>
      <c r="BT63" s="194"/>
    </row>
    <row r="64" spans="1:72" s="79" customFormat="1">
      <c r="A64" s="234"/>
      <c r="B64" s="188"/>
      <c r="C64" s="211"/>
      <c r="D64" s="214"/>
      <c r="E64" s="215"/>
      <c r="F64" s="214"/>
      <c r="G64" s="215"/>
      <c r="H64" s="214"/>
      <c r="I64" s="215"/>
      <c r="J64" s="214"/>
      <c r="K64" s="215"/>
      <c r="L64" s="214"/>
      <c r="M64" s="215"/>
      <c r="N64" s="214"/>
      <c r="O64" s="215"/>
      <c r="P64" s="214"/>
      <c r="Q64" s="215"/>
      <c r="R64" s="214"/>
      <c r="S64" s="215"/>
      <c r="T64" s="214"/>
      <c r="U64" s="215"/>
      <c r="V64" s="214"/>
      <c r="W64" s="215"/>
      <c r="X64" s="214"/>
      <c r="Y64" s="215"/>
      <c r="Z64" s="214"/>
      <c r="AA64" s="215"/>
      <c r="AB64" s="214"/>
      <c r="AC64" s="215"/>
      <c r="AD64" s="214"/>
      <c r="AE64" s="215"/>
      <c r="AF64" s="214"/>
      <c r="AG64" s="215"/>
      <c r="AH64" s="214"/>
      <c r="AI64" s="215"/>
      <c r="AJ64" s="214"/>
      <c r="AK64" s="215"/>
      <c r="AL64" s="214"/>
      <c r="AM64" s="215"/>
      <c r="AN64" s="214"/>
      <c r="AO64" s="215"/>
      <c r="AP64" s="214"/>
      <c r="AQ64" s="215"/>
      <c r="AR64" s="214"/>
      <c r="AS64" s="215"/>
      <c r="AT64" s="214"/>
      <c r="AU64" s="215"/>
      <c r="AV64" s="214"/>
      <c r="AW64" s="215"/>
      <c r="AX64" s="214"/>
      <c r="AY64" s="215"/>
      <c r="AZ64" s="214"/>
      <c r="BA64" s="215"/>
      <c r="BB64" s="214"/>
      <c r="BC64" s="215"/>
      <c r="BD64" s="214"/>
      <c r="BE64" s="215"/>
      <c r="BF64" s="214"/>
      <c r="BG64" s="215"/>
      <c r="BH64" s="214"/>
      <c r="BI64" s="215"/>
      <c r="BJ64" s="214"/>
      <c r="BK64" s="215"/>
      <c r="BL64" s="214"/>
      <c r="BM64" s="215"/>
      <c r="BN64" s="214"/>
      <c r="BO64" s="215"/>
      <c r="BP64" s="214"/>
      <c r="BQ64" s="215"/>
      <c r="BR64" s="193">
        <f t="shared" si="0"/>
        <v>0</v>
      </c>
    </row>
    <row r="65" spans="1:71" s="79" customFormat="1">
      <c r="A65" s="234"/>
      <c r="B65" s="188"/>
      <c r="C65" s="211"/>
      <c r="D65" s="214"/>
      <c r="E65" s="215"/>
      <c r="F65" s="214"/>
      <c r="G65" s="215"/>
      <c r="H65" s="214"/>
      <c r="I65" s="215"/>
      <c r="J65" s="214"/>
      <c r="K65" s="215"/>
      <c r="L65" s="214"/>
      <c r="M65" s="215"/>
      <c r="N65" s="214"/>
      <c r="O65" s="215"/>
      <c r="P65" s="214"/>
      <c r="Q65" s="215"/>
      <c r="R65" s="214"/>
      <c r="S65" s="215"/>
      <c r="T65" s="214"/>
      <c r="U65" s="215"/>
      <c r="V65" s="214"/>
      <c r="W65" s="215"/>
      <c r="X65" s="214"/>
      <c r="Y65" s="215"/>
      <c r="Z65" s="214"/>
      <c r="AA65" s="215"/>
      <c r="AB65" s="214"/>
      <c r="AC65" s="215"/>
      <c r="AD65" s="214"/>
      <c r="AE65" s="215"/>
      <c r="AF65" s="214"/>
      <c r="AG65" s="215"/>
      <c r="AH65" s="214"/>
      <c r="AI65" s="215"/>
      <c r="AJ65" s="214"/>
      <c r="AK65" s="215"/>
      <c r="AL65" s="214"/>
      <c r="AM65" s="215"/>
      <c r="AN65" s="214"/>
      <c r="AO65" s="215"/>
      <c r="AP65" s="214"/>
      <c r="AQ65" s="215"/>
      <c r="AR65" s="214"/>
      <c r="AS65" s="215"/>
      <c r="AT65" s="214"/>
      <c r="AU65" s="215"/>
      <c r="AV65" s="214"/>
      <c r="AW65" s="215"/>
      <c r="AX65" s="214"/>
      <c r="AY65" s="215"/>
      <c r="AZ65" s="214"/>
      <c r="BA65" s="215"/>
      <c r="BB65" s="214"/>
      <c r="BC65" s="215"/>
      <c r="BD65" s="214"/>
      <c r="BE65" s="215"/>
      <c r="BF65" s="214"/>
      <c r="BG65" s="215"/>
      <c r="BH65" s="214"/>
      <c r="BI65" s="215"/>
      <c r="BJ65" s="214"/>
      <c r="BK65" s="215"/>
      <c r="BL65" s="214"/>
      <c r="BM65" s="215"/>
      <c r="BN65" s="214"/>
      <c r="BO65" s="215"/>
      <c r="BP65" s="214"/>
      <c r="BQ65" s="215"/>
      <c r="BR65" s="193">
        <f t="shared" si="0"/>
        <v>0</v>
      </c>
    </row>
    <row r="66" spans="1:71" s="79" customFormat="1">
      <c r="A66" s="234"/>
      <c r="B66" s="188"/>
      <c r="C66" s="211"/>
      <c r="D66" s="214"/>
      <c r="E66" s="215"/>
      <c r="F66" s="214"/>
      <c r="G66" s="215"/>
      <c r="H66" s="214"/>
      <c r="I66" s="215"/>
      <c r="J66" s="214"/>
      <c r="K66" s="215"/>
      <c r="L66" s="214"/>
      <c r="M66" s="215"/>
      <c r="N66" s="214"/>
      <c r="O66" s="215"/>
      <c r="P66" s="214"/>
      <c r="Q66" s="215"/>
      <c r="R66" s="214"/>
      <c r="S66" s="215"/>
      <c r="T66" s="214"/>
      <c r="U66" s="215"/>
      <c r="V66" s="214"/>
      <c r="W66" s="215"/>
      <c r="X66" s="214"/>
      <c r="Y66" s="215"/>
      <c r="Z66" s="214"/>
      <c r="AA66" s="215"/>
      <c r="AB66" s="214"/>
      <c r="AC66" s="215"/>
      <c r="AD66" s="214"/>
      <c r="AE66" s="215"/>
      <c r="AF66" s="214"/>
      <c r="AG66" s="215"/>
      <c r="AH66" s="214"/>
      <c r="AI66" s="215"/>
      <c r="AJ66" s="214"/>
      <c r="AK66" s="215"/>
      <c r="AL66" s="214"/>
      <c r="AM66" s="215"/>
      <c r="AN66" s="214"/>
      <c r="AO66" s="215"/>
      <c r="AP66" s="214"/>
      <c r="AQ66" s="215"/>
      <c r="AR66" s="214"/>
      <c r="AS66" s="215"/>
      <c r="AT66" s="214"/>
      <c r="AU66" s="215"/>
      <c r="AV66" s="214"/>
      <c r="AW66" s="215"/>
      <c r="AX66" s="214"/>
      <c r="AY66" s="215"/>
      <c r="AZ66" s="214"/>
      <c r="BA66" s="215"/>
      <c r="BB66" s="214"/>
      <c r="BC66" s="215"/>
      <c r="BD66" s="214"/>
      <c r="BE66" s="215"/>
      <c r="BF66" s="214"/>
      <c r="BG66" s="215"/>
      <c r="BH66" s="214"/>
      <c r="BI66" s="215"/>
      <c r="BJ66" s="214"/>
      <c r="BK66" s="215"/>
      <c r="BL66" s="214"/>
      <c r="BM66" s="215"/>
      <c r="BN66" s="214"/>
      <c r="BO66" s="215"/>
      <c r="BP66" s="214"/>
      <c r="BQ66" s="215"/>
      <c r="BR66" s="193">
        <f t="shared" si="0"/>
        <v>0</v>
      </c>
    </row>
    <row r="67" spans="1:71" s="79" customFormat="1">
      <c r="A67" s="234"/>
      <c r="B67" s="188"/>
      <c r="C67" s="123"/>
      <c r="D67" s="214"/>
      <c r="E67" s="215"/>
      <c r="F67" s="214"/>
      <c r="G67" s="215"/>
      <c r="H67" s="214"/>
      <c r="I67" s="215"/>
      <c r="J67" s="214"/>
      <c r="K67" s="215"/>
      <c r="L67" s="214"/>
      <c r="M67" s="215"/>
      <c r="N67" s="214"/>
      <c r="O67" s="215"/>
      <c r="P67" s="214"/>
      <c r="Q67" s="215"/>
      <c r="R67" s="214"/>
      <c r="S67" s="215"/>
      <c r="T67" s="214"/>
      <c r="U67" s="215"/>
      <c r="V67" s="214"/>
      <c r="W67" s="215"/>
      <c r="X67" s="214"/>
      <c r="Y67" s="215"/>
      <c r="Z67" s="214"/>
      <c r="AA67" s="215"/>
      <c r="AB67" s="214"/>
      <c r="AC67" s="215"/>
      <c r="AD67" s="214"/>
      <c r="AE67" s="215"/>
      <c r="AF67" s="214"/>
      <c r="AG67" s="215"/>
      <c r="AH67" s="214"/>
      <c r="AI67" s="215"/>
      <c r="AJ67" s="214"/>
      <c r="AK67" s="215"/>
      <c r="AL67" s="214"/>
      <c r="AM67" s="215"/>
      <c r="AN67" s="214"/>
      <c r="AO67" s="215"/>
      <c r="AP67" s="214"/>
      <c r="AQ67" s="215"/>
      <c r="AR67" s="214"/>
      <c r="AS67" s="215"/>
      <c r="AT67" s="214"/>
      <c r="AU67" s="215"/>
      <c r="AV67" s="214"/>
      <c r="AW67" s="215"/>
      <c r="AX67" s="214"/>
      <c r="AY67" s="215"/>
      <c r="AZ67" s="214"/>
      <c r="BA67" s="215"/>
      <c r="BB67" s="214"/>
      <c r="BC67" s="215"/>
      <c r="BD67" s="214"/>
      <c r="BE67" s="215"/>
      <c r="BF67" s="214"/>
      <c r="BG67" s="215"/>
      <c r="BH67" s="214"/>
      <c r="BI67" s="215"/>
      <c r="BJ67" s="214"/>
      <c r="BK67" s="215"/>
      <c r="BL67" s="214"/>
      <c r="BM67" s="215"/>
      <c r="BN67" s="214"/>
      <c r="BO67" s="215"/>
      <c r="BP67" s="214"/>
      <c r="BQ67" s="215"/>
      <c r="BR67" s="193">
        <f t="shared" si="0"/>
        <v>0</v>
      </c>
    </row>
    <row r="68" spans="1:71" s="79" customFormat="1">
      <c r="A68" s="234"/>
      <c r="B68" s="188"/>
      <c r="C68" s="123"/>
      <c r="D68" s="214"/>
      <c r="E68" s="215"/>
      <c r="F68" s="214"/>
      <c r="G68" s="215"/>
      <c r="H68" s="214"/>
      <c r="I68" s="215"/>
      <c r="J68" s="214"/>
      <c r="K68" s="215"/>
      <c r="L68" s="214"/>
      <c r="M68" s="215"/>
      <c r="N68" s="214"/>
      <c r="O68" s="215"/>
      <c r="P68" s="214"/>
      <c r="Q68" s="215"/>
      <c r="R68" s="214"/>
      <c r="S68" s="215"/>
      <c r="T68" s="214"/>
      <c r="U68" s="215"/>
      <c r="V68" s="214"/>
      <c r="W68" s="215"/>
      <c r="X68" s="214"/>
      <c r="Y68" s="215"/>
      <c r="Z68" s="214"/>
      <c r="AA68" s="215"/>
      <c r="AB68" s="214"/>
      <c r="AC68" s="215"/>
      <c r="AD68" s="214"/>
      <c r="AE68" s="215"/>
      <c r="AF68" s="214"/>
      <c r="AG68" s="215"/>
      <c r="AH68" s="214"/>
      <c r="AI68" s="215"/>
      <c r="AJ68" s="214"/>
      <c r="AK68" s="215"/>
      <c r="AL68" s="214"/>
      <c r="AM68" s="215"/>
      <c r="AN68" s="214"/>
      <c r="AO68" s="215"/>
      <c r="AP68" s="214"/>
      <c r="AQ68" s="215"/>
      <c r="AR68" s="214"/>
      <c r="AS68" s="215"/>
      <c r="AT68" s="214"/>
      <c r="AU68" s="215"/>
      <c r="AV68" s="214"/>
      <c r="AW68" s="215"/>
      <c r="AX68" s="214"/>
      <c r="AY68" s="215"/>
      <c r="AZ68" s="214"/>
      <c r="BA68" s="215"/>
      <c r="BB68" s="214"/>
      <c r="BC68" s="215"/>
      <c r="BD68" s="214"/>
      <c r="BE68" s="215"/>
      <c r="BF68" s="214"/>
      <c r="BG68" s="215"/>
      <c r="BH68" s="214"/>
      <c r="BI68" s="215"/>
      <c r="BJ68" s="214"/>
      <c r="BK68" s="215"/>
      <c r="BL68" s="214"/>
      <c r="BM68" s="215"/>
      <c r="BN68" s="214"/>
      <c r="BO68" s="215"/>
      <c r="BP68" s="214"/>
      <c r="BQ68" s="215"/>
      <c r="BR68" s="193">
        <f t="shared" si="0"/>
        <v>0</v>
      </c>
    </row>
    <row r="69" spans="1:71" s="79" customFormat="1">
      <c r="A69" s="234"/>
      <c r="B69" s="188"/>
      <c r="C69" s="211"/>
      <c r="D69" s="214"/>
      <c r="E69" s="215"/>
      <c r="F69" s="214"/>
      <c r="G69" s="215"/>
      <c r="H69" s="214"/>
      <c r="I69" s="215"/>
      <c r="J69" s="214"/>
      <c r="K69" s="215"/>
      <c r="L69" s="214"/>
      <c r="M69" s="215"/>
      <c r="N69" s="214"/>
      <c r="O69" s="215"/>
      <c r="P69" s="214"/>
      <c r="Q69" s="215"/>
      <c r="R69" s="214"/>
      <c r="S69" s="215"/>
      <c r="T69" s="214"/>
      <c r="U69" s="215"/>
      <c r="V69" s="214"/>
      <c r="W69" s="215"/>
      <c r="X69" s="214"/>
      <c r="Y69" s="215"/>
      <c r="Z69" s="214"/>
      <c r="AA69" s="215"/>
      <c r="AB69" s="214"/>
      <c r="AC69" s="215"/>
      <c r="AD69" s="214"/>
      <c r="AE69" s="215"/>
      <c r="AF69" s="214"/>
      <c r="AG69" s="215"/>
      <c r="AH69" s="214"/>
      <c r="AI69" s="215"/>
      <c r="AJ69" s="214"/>
      <c r="AK69" s="215"/>
      <c r="AL69" s="214"/>
      <c r="AM69" s="215"/>
      <c r="AN69" s="214"/>
      <c r="AO69" s="215"/>
      <c r="AP69" s="214"/>
      <c r="AQ69" s="215"/>
      <c r="AR69" s="214"/>
      <c r="AS69" s="215"/>
      <c r="AT69" s="214"/>
      <c r="AU69" s="215"/>
      <c r="AV69" s="214"/>
      <c r="AW69" s="215"/>
      <c r="AX69" s="214"/>
      <c r="AY69" s="215"/>
      <c r="AZ69" s="214"/>
      <c r="BA69" s="215"/>
      <c r="BB69" s="214"/>
      <c r="BC69" s="215"/>
      <c r="BD69" s="214"/>
      <c r="BE69" s="215"/>
      <c r="BF69" s="214"/>
      <c r="BG69" s="215"/>
      <c r="BH69" s="214"/>
      <c r="BI69" s="215"/>
      <c r="BJ69" s="214"/>
      <c r="BK69" s="215"/>
      <c r="BL69" s="214"/>
      <c r="BM69" s="215"/>
      <c r="BN69" s="214"/>
      <c r="BO69" s="215"/>
      <c r="BP69" s="214"/>
      <c r="BQ69" s="215"/>
      <c r="BR69" s="193">
        <f t="shared" si="0"/>
        <v>0</v>
      </c>
    </row>
    <row r="70" spans="1:71" s="79" customFormat="1">
      <c r="A70" s="234"/>
      <c r="B70" s="188"/>
      <c r="C70" s="211"/>
      <c r="D70" s="214"/>
      <c r="E70" s="215"/>
      <c r="F70" s="214"/>
      <c r="G70" s="215"/>
      <c r="H70" s="214"/>
      <c r="I70" s="215"/>
      <c r="J70" s="214"/>
      <c r="K70" s="215"/>
      <c r="L70" s="214"/>
      <c r="M70" s="215"/>
      <c r="N70" s="214"/>
      <c r="O70" s="215"/>
      <c r="P70" s="214"/>
      <c r="Q70" s="215"/>
      <c r="R70" s="214"/>
      <c r="S70" s="215"/>
      <c r="T70" s="214"/>
      <c r="U70" s="215"/>
      <c r="V70" s="214"/>
      <c r="W70" s="215"/>
      <c r="X70" s="214"/>
      <c r="Y70" s="215"/>
      <c r="Z70" s="214"/>
      <c r="AA70" s="215"/>
      <c r="AB70" s="214"/>
      <c r="AC70" s="215"/>
      <c r="AD70" s="214"/>
      <c r="AE70" s="215"/>
      <c r="AF70" s="214"/>
      <c r="AG70" s="215"/>
      <c r="AH70" s="214"/>
      <c r="AI70" s="215"/>
      <c r="AJ70" s="214"/>
      <c r="AK70" s="215"/>
      <c r="AL70" s="214"/>
      <c r="AM70" s="215"/>
      <c r="AN70" s="214"/>
      <c r="AO70" s="215"/>
      <c r="AP70" s="214"/>
      <c r="AQ70" s="215"/>
      <c r="AR70" s="214"/>
      <c r="AS70" s="215"/>
      <c r="AT70" s="214"/>
      <c r="AU70" s="215"/>
      <c r="AV70" s="214"/>
      <c r="AW70" s="215"/>
      <c r="AX70" s="214"/>
      <c r="AY70" s="215"/>
      <c r="AZ70" s="214"/>
      <c r="BA70" s="215"/>
      <c r="BB70" s="214"/>
      <c r="BC70" s="215"/>
      <c r="BD70" s="214"/>
      <c r="BE70" s="215"/>
      <c r="BF70" s="214"/>
      <c r="BG70" s="215"/>
      <c r="BH70" s="214"/>
      <c r="BI70" s="215"/>
      <c r="BJ70" s="214"/>
      <c r="BK70" s="215"/>
      <c r="BL70" s="214"/>
      <c r="BM70" s="215"/>
      <c r="BN70" s="214"/>
      <c r="BO70" s="215"/>
      <c r="BP70" s="214"/>
      <c r="BQ70" s="215"/>
      <c r="BR70" s="193">
        <f t="shared" si="0"/>
        <v>0</v>
      </c>
    </row>
    <row r="71" spans="1:71" s="79" customFormat="1">
      <c r="A71" s="234"/>
      <c r="B71" s="188"/>
      <c r="C71" s="123"/>
      <c r="D71" s="214"/>
      <c r="E71" s="215"/>
      <c r="F71" s="214"/>
      <c r="G71" s="215"/>
      <c r="H71" s="214"/>
      <c r="I71" s="215"/>
      <c r="J71" s="214"/>
      <c r="K71" s="215"/>
      <c r="L71" s="214"/>
      <c r="M71" s="215"/>
      <c r="N71" s="214"/>
      <c r="O71" s="215"/>
      <c r="P71" s="214"/>
      <c r="Q71" s="215"/>
      <c r="R71" s="214"/>
      <c r="S71" s="215"/>
      <c r="T71" s="214"/>
      <c r="U71" s="215"/>
      <c r="V71" s="214"/>
      <c r="W71" s="215"/>
      <c r="X71" s="214"/>
      <c r="Y71" s="215"/>
      <c r="Z71" s="214"/>
      <c r="AA71" s="215"/>
      <c r="AB71" s="214"/>
      <c r="AC71" s="215"/>
      <c r="AD71" s="214"/>
      <c r="AE71" s="215"/>
      <c r="AF71" s="214"/>
      <c r="AG71" s="215"/>
      <c r="AH71" s="214"/>
      <c r="AI71" s="215"/>
      <c r="AJ71" s="214"/>
      <c r="AK71" s="215"/>
      <c r="AL71" s="214"/>
      <c r="AM71" s="215"/>
      <c r="AN71" s="214"/>
      <c r="AO71" s="215"/>
      <c r="AP71" s="214"/>
      <c r="AQ71" s="215"/>
      <c r="AR71" s="214"/>
      <c r="AS71" s="215"/>
      <c r="AT71" s="214"/>
      <c r="AU71" s="215"/>
      <c r="AV71" s="214"/>
      <c r="AW71" s="215"/>
      <c r="AX71" s="214"/>
      <c r="AY71" s="215"/>
      <c r="AZ71" s="214"/>
      <c r="BA71" s="215"/>
      <c r="BB71" s="214"/>
      <c r="BC71" s="215"/>
      <c r="BD71" s="214"/>
      <c r="BE71" s="215"/>
      <c r="BF71" s="214"/>
      <c r="BG71" s="215"/>
      <c r="BH71" s="214"/>
      <c r="BI71" s="215"/>
      <c r="BJ71" s="214"/>
      <c r="BK71" s="215"/>
      <c r="BL71" s="214"/>
      <c r="BM71" s="215"/>
      <c r="BN71" s="214"/>
      <c r="BO71" s="215"/>
      <c r="BP71" s="214"/>
      <c r="BQ71" s="215"/>
      <c r="BR71" s="193">
        <f t="shared" si="0"/>
        <v>0</v>
      </c>
    </row>
    <row r="72" spans="1:71" s="79" customFormat="1">
      <c r="A72" s="234"/>
      <c r="B72" s="188"/>
      <c r="C72" s="186"/>
      <c r="D72" s="214"/>
      <c r="E72" s="215"/>
      <c r="F72" s="214"/>
      <c r="G72" s="215"/>
      <c r="H72" s="214"/>
      <c r="I72" s="215"/>
      <c r="J72" s="214"/>
      <c r="K72" s="215"/>
      <c r="L72" s="214"/>
      <c r="M72" s="215"/>
      <c r="N72" s="214"/>
      <c r="O72" s="215"/>
      <c r="P72" s="214"/>
      <c r="Q72" s="215"/>
      <c r="R72" s="214"/>
      <c r="S72" s="215"/>
      <c r="T72" s="214"/>
      <c r="U72" s="215"/>
      <c r="V72" s="214"/>
      <c r="W72" s="215"/>
      <c r="X72" s="214"/>
      <c r="Y72" s="215"/>
      <c r="Z72" s="214"/>
      <c r="AA72" s="215"/>
      <c r="AB72" s="214"/>
      <c r="AC72" s="215"/>
      <c r="AD72" s="214"/>
      <c r="AE72" s="215"/>
      <c r="AF72" s="214"/>
      <c r="AG72" s="215"/>
      <c r="AH72" s="214"/>
      <c r="AI72" s="215"/>
      <c r="AJ72" s="214"/>
      <c r="AK72" s="215"/>
      <c r="AL72" s="214"/>
      <c r="AM72" s="215"/>
      <c r="AN72" s="214"/>
      <c r="AO72" s="215"/>
      <c r="AP72" s="214"/>
      <c r="AQ72" s="215"/>
      <c r="AR72" s="214"/>
      <c r="AS72" s="215"/>
      <c r="AT72" s="214"/>
      <c r="AU72" s="215"/>
      <c r="AV72" s="214"/>
      <c r="AW72" s="215"/>
      <c r="AX72" s="214"/>
      <c r="AY72" s="215"/>
      <c r="AZ72" s="214"/>
      <c r="BA72" s="215"/>
      <c r="BB72" s="214"/>
      <c r="BC72" s="215"/>
      <c r="BD72" s="214"/>
      <c r="BE72" s="215"/>
      <c r="BF72" s="214"/>
      <c r="BG72" s="215"/>
      <c r="BH72" s="214"/>
      <c r="BI72" s="215"/>
      <c r="BJ72" s="214"/>
      <c r="BK72" s="215"/>
      <c r="BL72" s="214"/>
      <c r="BM72" s="215"/>
      <c r="BN72" s="214"/>
      <c r="BO72" s="215"/>
      <c r="BP72" s="214"/>
      <c r="BQ72" s="215"/>
      <c r="BR72" s="193">
        <f t="shared" si="0"/>
        <v>0</v>
      </c>
    </row>
    <row r="73" spans="1:71" s="79" customFormat="1">
      <c r="A73" s="234"/>
      <c r="B73" s="188"/>
      <c r="C73" s="211"/>
      <c r="D73" s="214"/>
      <c r="E73" s="215"/>
      <c r="F73" s="214"/>
      <c r="G73" s="215"/>
      <c r="H73" s="214"/>
      <c r="I73" s="215"/>
      <c r="J73" s="214"/>
      <c r="K73" s="215"/>
      <c r="L73" s="214"/>
      <c r="M73" s="215"/>
      <c r="N73" s="214"/>
      <c r="O73" s="215"/>
      <c r="P73" s="214"/>
      <c r="Q73" s="215"/>
      <c r="R73" s="214"/>
      <c r="S73" s="215"/>
      <c r="T73" s="214"/>
      <c r="U73" s="215"/>
      <c r="V73" s="214"/>
      <c r="W73" s="215"/>
      <c r="X73" s="214"/>
      <c r="Y73" s="215"/>
      <c r="Z73" s="214"/>
      <c r="AA73" s="215"/>
      <c r="AB73" s="214"/>
      <c r="AC73" s="215"/>
      <c r="AD73" s="214"/>
      <c r="AE73" s="215"/>
      <c r="AF73" s="214"/>
      <c r="AG73" s="215"/>
      <c r="AH73" s="214"/>
      <c r="AI73" s="215"/>
      <c r="AJ73" s="214"/>
      <c r="AK73" s="215"/>
      <c r="AL73" s="214"/>
      <c r="AM73" s="215"/>
      <c r="AN73" s="214"/>
      <c r="AO73" s="215"/>
      <c r="AP73" s="214"/>
      <c r="AQ73" s="215"/>
      <c r="AR73" s="214"/>
      <c r="AS73" s="215"/>
      <c r="AT73" s="214"/>
      <c r="AU73" s="215"/>
      <c r="AV73" s="214"/>
      <c r="AW73" s="215"/>
      <c r="AX73" s="214"/>
      <c r="AY73" s="215"/>
      <c r="AZ73" s="214"/>
      <c r="BA73" s="215"/>
      <c r="BB73" s="214"/>
      <c r="BC73" s="215"/>
      <c r="BD73" s="214"/>
      <c r="BE73" s="215"/>
      <c r="BF73" s="214"/>
      <c r="BG73" s="215"/>
      <c r="BH73" s="214"/>
      <c r="BI73" s="215"/>
      <c r="BJ73" s="214"/>
      <c r="BK73" s="215"/>
      <c r="BL73" s="214"/>
      <c r="BM73" s="215"/>
      <c r="BN73" s="214"/>
      <c r="BO73" s="215"/>
      <c r="BP73" s="214"/>
      <c r="BQ73" s="215"/>
      <c r="BR73" s="193">
        <f t="shared" si="0"/>
        <v>0</v>
      </c>
    </row>
    <row r="74" spans="1:71" s="79" customFormat="1">
      <c r="A74" s="234"/>
      <c r="B74" s="188"/>
      <c r="C74" s="211"/>
      <c r="D74" s="214"/>
      <c r="E74" s="215"/>
      <c r="F74" s="214"/>
      <c r="G74" s="215"/>
      <c r="H74" s="214"/>
      <c r="I74" s="215"/>
      <c r="J74" s="214"/>
      <c r="K74" s="215"/>
      <c r="L74" s="214"/>
      <c r="M74" s="215"/>
      <c r="N74" s="214"/>
      <c r="O74" s="215"/>
      <c r="P74" s="214"/>
      <c r="Q74" s="215"/>
      <c r="R74" s="214"/>
      <c r="S74" s="215"/>
      <c r="T74" s="214"/>
      <c r="U74" s="215"/>
      <c r="V74" s="214"/>
      <c r="W74" s="215"/>
      <c r="X74" s="214"/>
      <c r="Y74" s="215"/>
      <c r="Z74" s="214"/>
      <c r="AA74" s="215"/>
      <c r="AB74" s="214"/>
      <c r="AC74" s="215"/>
      <c r="AD74" s="214"/>
      <c r="AE74" s="215"/>
      <c r="AF74" s="214"/>
      <c r="AG74" s="215"/>
      <c r="AH74" s="214"/>
      <c r="AI74" s="215"/>
      <c r="AJ74" s="214"/>
      <c r="AK74" s="215"/>
      <c r="AL74" s="214"/>
      <c r="AM74" s="215"/>
      <c r="AN74" s="214"/>
      <c r="AO74" s="215"/>
      <c r="AP74" s="214"/>
      <c r="AQ74" s="215"/>
      <c r="AR74" s="214"/>
      <c r="AS74" s="215"/>
      <c r="AT74" s="214"/>
      <c r="AU74" s="215"/>
      <c r="AV74" s="214"/>
      <c r="AW74" s="215"/>
      <c r="AX74" s="214"/>
      <c r="AY74" s="215"/>
      <c r="AZ74" s="214"/>
      <c r="BA74" s="215"/>
      <c r="BB74" s="214"/>
      <c r="BC74" s="215"/>
      <c r="BD74" s="214"/>
      <c r="BE74" s="215"/>
      <c r="BF74" s="214"/>
      <c r="BG74" s="215"/>
      <c r="BH74" s="214"/>
      <c r="BI74" s="215"/>
      <c r="BJ74" s="214"/>
      <c r="BK74" s="215"/>
      <c r="BL74" s="214"/>
      <c r="BM74" s="215"/>
      <c r="BN74" s="214"/>
      <c r="BO74" s="215"/>
      <c r="BP74" s="214"/>
      <c r="BQ74" s="215"/>
      <c r="BR74" s="193">
        <f t="shared" si="0"/>
        <v>0</v>
      </c>
    </row>
    <row r="75" spans="1:71" s="79" customFormat="1">
      <c r="A75" s="234"/>
      <c r="B75" s="188"/>
      <c r="C75" s="211"/>
      <c r="D75" s="214"/>
      <c r="E75" s="215"/>
      <c r="F75" s="214"/>
      <c r="G75" s="215"/>
      <c r="H75" s="214"/>
      <c r="I75" s="215"/>
      <c r="J75" s="214"/>
      <c r="K75" s="215"/>
      <c r="L75" s="214"/>
      <c r="M75" s="215"/>
      <c r="N75" s="214"/>
      <c r="O75" s="215"/>
      <c r="P75" s="214"/>
      <c r="Q75" s="215"/>
      <c r="R75" s="214"/>
      <c r="S75" s="215"/>
      <c r="T75" s="214"/>
      <c r="U75" s="215"/>
      <c r="V75" s="214"/>
      <c r="W75" s="215"/>
      <c r="X75" s="214"/>
      <c r="Y75" s="215"/>
      <c r="Z75" s="214"/>
      <c r="AA75" s="215"/>
      <c r="AB75" s="214"/>
      <c r="AC75" s="215"/>
      <c r="AD75" s="214"/>
      <c r="AE75" s="215"/>
      <c r="AF75" s="214"/>
      <c r="AG75" s="215"/>
      <c r="AH75" s="214"/>
      <c r="AI75" s="215"/>
      <c r="AJ75" s="214"/>
      <c r="AK75" s="215"/>
      <c r="AL75" s="214"/>
      <c r="AM75" s="215"/>
      <c r="AN75" s="214"/>
      <c r="AO75" s="215"/>
      <c r="AP75" s="214"/>
      <c r="AQ75" s="215"/>
      <c r="AR75" s="214"/>
      <c r="AS75" s="215"/>
      <c r="AT75" s="214"/>
      <c r="AU75" s="215"/>
      <c r="AV75" s="214"/>
      <c r="AW75" s="215"/>
      <c r="AX75" s="214"/>
      <c r="AY75" s="215"/>
      <c r="AZ75" s="214"/>
      <c r="BA75" s="215"/>
      <c r="BB75" s="214"/>
      <c r="BC75" s="215"/>
      <c r="BD75" s="214"/>
      <c r="BE75" s="215"/>
      <c r="BF75" s="214"/>
      <c r="BG75" s="215"/>
      <c r="BH75" s="214"/>
      <c r="BI75" s="215"/>
      <c r="BJ75" s="214"/>
      <c r="BK75" s="215"/>
      <c r="BL75" s="214"/>
      <c r="BM75" s="215"/>
      <c r="BN75" s="214"/>
      <c r="BO75" s="215"/>
      <c r="BP75" s="214"/>
      <c r="BQ75" s="215"/>
      <c r="BR75" s="193">
        <f t="shared" si="0"/>
        <v>0</v>
      </c>
    </row>
    <row r="76" spans="1:71" s="202" customFormat="1">
      <c r="A76" s="235"/>
      <c r="B76" s="207" t="s">
        <v>41</v>
      </c>
      <c r="C76" s="207"/>
      <c r="D76" s="216">
        <f>SUM(D8:D75)</f>
        <v>100</v>
      </c>
      <c r="E76" s="217"/>
      <c r="F76" s="216">
        <f>SUM(F8:F75)</f>
        <v>996044.57</v>
      </c>
      <c r="G76" s="217"/>
      <c r="H76" s="216">
        <f>SUM(H8:H75)</f>
        <v>5000</v>
      </c>
      <c r="I76" s="217"/>
      <c r="J76" s="216">
        <f>SUM(J8:J75)</f>
        <v>0</v>
      </c>
      <c r="K76" s="217"/>
      <c r="L76" s="216">
        <f>SUM(L8:L75)</f>
        <v>10695.4</v>
      </c>
      <c r="M76" s="217"/>
      <c r="N76" s="216">
        <f>SUM(N8:N75)</f>
        <v>9753.9</v>
      </c>
      <c r="O76" s="217"/>
      <c r="P76" s="216">
        <f>SUM(P8:P75)</f>
        <v>0</v>
      </c>
      <c r="Q76" s="217"/>
      <c r="R76" s="216">
        <f>SUM(R8:R75)</f>
        <v>2793</v>
      </c>
      <c r="S76" s="217"/>
      <c r="T76" s="216">
        <f>SUM(T8:T75)</f>
        <v>20</v>
      </c>
      <c r="U76" s="217"/>
      <c r="V76" s="216">
        <f>SUM(V8:V75)</f>
        <v>2500</v>
      </c>
      <c r="W76" s="217"/>
      <c r="X76" s="216">
        <f>SUM(X8:X75)</f>
        <v>235</v>
      </c>
      <c r="Y76" s="217"/>
      <c r="Z76" s="216">
        <f>SUM(Z8:Z75)</f>
        <v>0</v>
      </c>
      <c r="AA76" s="217"/>
      <c r="AB76" s="216">
        <f>SUM(AB8:AB75)</f>
        <v>0</v>
      </c>
      <c r="AC76" s="217"/>
      <c r="AD76" s="216">
        <f>SUM(AD8:AD75)</f>
        <v>0</v>
      </c>
      <c r="AE76" s="217"/>
      <c r="AF76" s="216">
        <f>SUM(AF8:AF75)</f>
        <v>0</v>
      </c>
      <c r="AG76" s="217"/>
      <c r="AH76" s="216">
        <f>SUM(AH8:AH75)</f>
        <v>857690.75</v>
      </c>
      <c r="AI76" s="217"/>
      <c r="AJ76" s="216">
        <f>SUM(AJ8:AJ75)</f>
        <v>0</v>
      </c>
      <c r="AK76" s="217"/>
      <c r="AL76" s="216">
        <f>SUM(AL8:AL75)</f>
        <v>0</v>
      </c>
      <c r="AM76" s="217"/>
      <c r="AN76" s="216">
        <f>SUM(AN8:AN75)</f>
        <v>0</v>
      </c>
      <c r="AO76" s="217"/>
      <c r="AP76" s="216">
        <f>SUM(AP8:AP75)</f>
        <v>0</v>
      </c>
      <c r="AQ76" s="217"/>
      <c r="AR76" s="216">
        <f>SUM(AR8:AR75)</f>
        <v>0</v>
      </c>
      <c r="AS76" s="217"/>
      <c r="AT76" s="216">
        <f>SUM(AT8:AT75)</f>
        <v>950000</v>
      </c>
      <c r="AU76" s="217"/>
      <c r="AV76" s="216">
        <f>SUM(AV8:AV75)</f>
        <v>112480</v>
      </c>
      <c r="AW76" s="217"/>
      <c r="AX76" s="216">
        <f>SUM(AX8:AX75)</f>
        <v>5000</v>
      </c>
      <c r="AY76" s="217"/>
      <c r="AZ76" s="216">
        <f>SUM(AZ8:AZ75)</f>
        <v>0</v>
      </c>
      <c r="BA76" s="217"/>
      <c r="BB76" s="216">
        <f>SUM(BB8:BB75)</f>
        <v>0</v>
      </c>
      <c r="BC76" s="217"/>
      <c r="BD76" s="216">
        <f>SUM(BD8:BD75)</f>
        <v>1638</v>
      </c>
      <c r="BE76" s="217"/>
      <c r="BF76" s="216">
        <f>SUM(BF8:BF75)</f>
        <v>0</v>
      </c>
      <c r="BG76" s="217"/>
      <c r="BH76" s="216">
        <f>SUM(BH8:BH75)</f>
        <v>0</v>
      </c>
      <c r="BI76" s="217"/>
      <c r="BJ76" s="216">
        <f>SUM(BJ8:BJ75)</f>
        <v>0</v>
      </c>
      <c r="BK76" s="217"/>
      <c r="BL76" s="216">
        <f>SUM(BL8:BL75)</f>
        <v>0</v>
      </c>
      <c r="BM76" s="217"/>
      <c r="BN76" s="216">
        <f>SUM(BN8:BN75)</f>
        <v>9626.9500000000007</v>
      </c>
      <c r="BO76" s="217"/>
      <c r="BP76" s="216">
        <f>SUM(BP8:BP75)</f>
        <v>0</v>
      </c>
      <c r="BQ76" s="217"/>
      <c r="BR76" s="203">
        <f t="shared" si="0"/>
        <v>2963577.5700000003</v>
      </c>
      <c r="BS76" s="202" t="s">
        <v>28</v>
      </c>
    </row>
    <row r="77" spans="1:71" s="202" customFormat="1">
      <c r="A77" s="235"/>
      <c r="B77" s="204" t="s">
        <v>42</v>
      </c>
      <c r="C77" s="204"/>
      <c r="D77" s="218"/>
      <c r="E77" s="219">
        <f>SUM(E8:E75)</f>
        <v>100</v>
      </c>
      <c r="F77" s="218"/>
      <c r="G77" s="219">
        <f>SUM(G8:G75)</f>
        <v>885339.25</v>
      </c>
      <c r="H77" s="218"/>
      <c r="I77" s="219">
        <f>SUM(I8:I75)</f>
        <v>0</v>
      </c>
      <c r="J77" s="218"/>
      <c r="K77" s="219">
        <f>SUM(K8:K75)</f>
        <v>0</v>
      </c>
      <c r="L77" s="218"/>
      <c r="M77" s="219">
        <f>SUM(M8:M75)</f>
        <v>1869</v>
      </c>
      <c r="N77" s="218"/>
      <c r="O77" s="219">
        <f>SUM(O8:O75)</f>
        <v>0</v>
      </c>
      <c r="P77" s="218"/>
      <c r="Q77" s="219">
        <f>SUM(Q8:Q75)</f>
        <v>0</v>
      </c>
      <c r="R77" s="218"/>
      <c r="S77" s="219">
        <f>SUM(S8:S75)</f>
        <v>0</v>
      </c>
      <c r="T77" s="218"/>
      <c r="U77" s="219">
        <f>SUM(U8:U75)</f>
        <v>50</v>
      </c>
      <c r="V77" s="218"/>
      <c r="W77" s="219">
        <f>SUM(W8:W75)</f>
        <v>0</v>
      </c>
      <c r="X77" s="218"/>
      <c r="Y77" s="219">
        <f>SUM(Y8:Y75)</f>
        <v>0</v>
      </c>
      <c r="Z77" s="218"/>
      <c r="AA77" s="219">
        <f>SUM(AA8:AA75)</f>
        <v>0</v>
      </c>
      <c r="AB77" s="218"/>
      <c r="AC77" s="219">
        <f>SUM(AC8:AC75)</f>
        <v>0</v>
      </c>
      <c r="AD77" s="218"/>
      <c r="AE77" s="219">
        <f>SUM(AE8:AE75)</f>
        <v>0</v>
      </c>
      <c r="AF77" s="218"/>
      <c r="AG77" s="219">
        <f>SUM(AG8:AG75)</f>
        <v>22000</v>
      </c>
      <c r="AH77" s="218"/>
      <c r="AI77" s="219">
        <f>SUM(AI8:AI75)</f>
        <v>0</v>
      </c>
      <c r="AJ77" s="218"/>
      <c r="AK77" s="219">
        <f>SUM(AK8:AK75)</f>
        <v>9000.4699999999993</v>
      </c>
      <c r="AL77" s="218"/>
      <c r="AM77" s="219">
        <f>SUM(AM8:AM75)</f>
        <v>0</v>
      </c>
      <c r="AN77" s="218"/>
      <c r="AO77" s="219">
        <f>SUM(AO8:AO75)</f>
        <v>0</v>
      </c>
      <c r="AP77" s="218"/>
      <c r="AQ77" s="219">
        <f>SUM(AQ8:AQ75)</f>
        <v>0</v>
      </c>
      <c r="AR77" s="218"/>
      <c r="AS77" s="219">
        <f>SUM(AS8:AS75)</f>
        <v>0</v>
      </c>
      <c r="AT77" s="218"/>
      <c r="AU77" s="219">
        <f>SUM(AU8:AU75)</f>
        <v>0</v>
      </c>
      <c r="AV77" s="218"/>
      <c r="AW77" s="219">
        <f>SUM(AW8:AW75)</f>
        <v>0</v>
      </c>
      <c r="AX77" s="218"/>
      <c r="AY77" s="219">
        <f>SUM(AY8:AY75)</f>
        <v>0</v>
      </c>
      <c r="AZ77" s="218"/>
      <c r="BA77" s="219">
        <f>SUM(BA8:BA75)</f>
        <v>1067480</v>
      </c>
      <c r="BB77" s="218"/>
      <c r="BC77" s="219">
        <f>SUM(BC8:BC75)</f>
        <v>707382.61</v>
      </c>
      <c r="BD77" s="218"/>
      <c r="BE77" s="219">
        <f>SUM(BE8:BE75)</f>
        <v>255494.29199999999</v>
      </c>
      <c r="BF77" s="218"/>
      <c r="BG77" s="219">
        <f>SUM(BG8:BG75)</f>
        <v>0</v>
      </c>
      <c r="BH77" s="218"/>
      <c r="BI77" s="219">
        <f>SUM(BI8:BI75)</f>
        <v>0</v>
      </c>
      <c r="BJ77" s="218"/>
      <c r="BK77" s="219">
        <f>SUM(BK8:BK75)</f>
        <v>0</v>
      </c>
      <c r="BL77" s="218"/>
      <c r="BM77" s="219">
        <f>SUM(BM8:BM75)</f>
        <v>0</v>
      </c>
      <c r="BN77" s="218"/>
      <c r="BO77" s="219">
        <f>SUM(BO8:BO75)</f>
        <v>14861.95</v>
      </c>
      <c r="BP77" s="218"/>
      <c r="BQ77" s="219">
        <f>SUM(BQ8:BQ75)</f>
        <v>0</v>
      </c>
      <c r="BR77" s="203">
        <f t="shared" si="0"/>
        <v>-2963577.5720000002</v>
      </c>
      <c r="BS77" s="202" t="s">
        <v>29</v>
      </c>
    </row>
    <row r="78" spans="1:71" s="202" customFormat="1">
      <c r="A78" s="235"/>
      <c r="B78" s="204" t="s">
        <v>197</v>
      </c>
      <c r="C78" s="204"/>
      <c r="D78" s="220">
        <f>IF(D76&gt;=E77,D76-E77,"")</f>
        <v>0</v>
      </c>
      <c r="E78" s="221" t="str">
        <f>IF(D76&lt;E77,E77-D76,"")</f>
        <v/>
      </c>
      <c r="F78" s="220">
        <f>IF(F76&gt;=G77,F76-G77,"")</f>
        <v>110705.31999999995</v>
      </c>
      <c r="G78" s="221" t="str">
        <f>IF(F76&lt;G77,G77-F76,"")</f>
        <v/>
      </c>
      <c r="H78" s="220">
        <f>IF(H76&gt;=I77,H76-I77,"")</f>
        <v>5000</v>
      </c>
      <c r="I78" s="221" t="str">
        <f>IF(H76&lt;I77,I77-H76,"")</f>
        <v/>
      </c>
      <c r="J78" s="220">
        <f>IF(J76&gt;=K77,J76-K77,"")</f>
        <v>0</v>
      </c>
      <c r="K78" s="221" t="str">
        <f>IF(J76&lt;K77,K77-J76,"")</f>
        <v/>
      </c>
      <c r="L78" s="220">
        <f>IF(L76&gt;=M77,L76-M77,"")</f>
        <v>8826.4</v>
      </c>
      <c r="M78" s="221" t="str">
        <f>IF(L76&lt;M77,M77-L76,"")</f>
        <v/>
      </c>
      <c r="N78" s="220">
        <f>IF(N76&gt;=O77,N76-O77,"")</f>
        <v>9753.9</v>
      </c>
      <c r="O78" s="221" t="str">
        <f>IF(N76&lt;O77,O77-N76,"")</f>
        <v/>
      </c>
      <c r="P78" s="220">
        <f>IF(P76&gt;=Q77,P76-Q77,"")</f>
        <v>0</v>
      </c>
      <c r="Q78" s="221" t="str">
        <f>IF(P76&lt;Q77,Q77-P76,"")</f>
        <v/>
      </c>
      <c r="R78" s="220">
        <f>IF(R76&gt;=S77,R76-S77,"")</f>
        <v>2793</v>
      </c>
      <c r="S78" s="221" t="str">
        <f>IF(R76&lt;S77,S77-R76,"")</f>
        <v/>
      </c>
      <c r="T78" s="220" t="str">
        <f>IF(T76&gt;=U77,T76-U77,"")</f>
        <v/>
      </c>
      <c r="U78" s="221">
        <f>IF(T76&lt;U77,U77-T76,"")</f>
        <v>30</v>
      </c>
      <c r="V78" s="220">
        <f>IF(V76&gt;=W77,V76-W77,"")</f>
        <v>2500</v>
      </c>
      <c r="W78" s="221" t="str">
        <f>IF(V76&lt;W77,W77-V76,"")</f>
        <v/>
      </c>
      <c r="X78" s="220">
        <f>IF(X76&gt;=Y77,X76-Y77,"")</f>
        <v>235</v>
      </c>
      <c r="Y78" s="221" t="str">
        <f>IF(X76&lt;Y77,Y77-X76,"")</f>
        <v/>
      </c>
      <c r="Z78" s="220">
        <f>IF(Z76&gt;=AA77,Z76-AA77,"")</f>
        <v>0</v>
      </c>
      <c r="AA78" s="221" t="str">
        <f>IF(Z76&lt;AA77,AA77-Z76,"")</f>
        <v/>
      </c>
      <c r="AB78" s="220">
        <f>IF(AB76&gt;=AC77,AB76-AC77,"")</f>
        <v>0</v>
      </c>
      <c r="AC78" s="221" t="str">
        <f>IF(AB76&lt;AC77,AC77-AB76,"")</f>
        <v/>
      </c>
      <c r="AD78" s="220">
        <f>IF(AD76&gt;=AE77,AD76-AE77,"")</f>
        <v>0</v>
      </c>
      <c r="AE78" s="221" t="str">
        <f>IF(AD76&lt;AE77,AE77-AD76,"")</f>
        <v/>
      </c>
      <c r="AF78" s="220" t="str">
        <f>IF(AF76&gt;=AG77,AF76-AG77,"")</f>
        <v/>
      </c>
      <c r="AG78" s="221">
        <f>IF(AF76&lt;AG77,AG77-AF76,"")</f>
        <v>22000</v>
      </c>
      <c r="AH78" s="220">
        <f>IF(AH76&gt;=AI77,AH76-AI77,"")</f>
        <v>857690.75</v>
      </c>
      <c r="AI78" s="221" t="str">
        <f>IF(AH76&lt;AI77,AI77-AH76,"")</f>
        <v/>
      </c>
      <c r="AJ78" s="220" t="str">
        <f>IF(AJ76&gt;=AK77,AJ76-AK77,"")</f>
        <v/>
      </c>
      <c r="AK78" s="221">
        <f>IF(AJ76&lt;AK77,AK77-AJ76,"")</f>
        <v>9000.4699999999993</v>
      </c>
      <c r="AL78" s="220">
        <f>IF(AL76&gt;=AM77,AL76-AM77,"")</f>
        <v>0</v>
      </c>
      <c r="AM78" s="221" t="str">
        <f>IF(AL76&lt;AM77,AM77-AL76,"")</f>
        <v/>
      </c>
      <c r="AN78" s="220">
        <f>IF(AN76&gt;=AO77,AN76-AO77,"")</f>
        <v>0</v>
      </c>
      <c r="AO78" s="221" t="str">
        <f>IF(AN76&lt;AO77,AO77-AN76,"")</f>
        <v/>
      </c>
      <c r="AP78" s="220">
        <f>IF(AP76&gt;=AQ77,AP76-AQ77,"")</f>
        <v>0</v>
      </c>
      <c r="AQ78" s="221" t="str">
        <f>IF(AP76&lt;AQ77,AQ77-AP76,"")</f>
        <v/>
      </c>
      <c r="AR78" s="220">
        <f>IF(AR76&gt;=AS77,AR76-AS77,"")</f>
        <v>0</v>
      </c>
      <c r="AS78" s="221" t="str">
        <f>IF(AR76&lt;AS77,AS77-AR76,"")</f>
        <v/>
      </c>
      <c r="AT78" s="220">
        <f>IF(AT76&gt;=AU77,AT76-AU77,"")</f>
        <v>950000</v>
      </c>
      <c r="AU78" s="221" t="str">
        <f>IF(AT76&lt;AU77,AU77-AT76,"")</f>
        <v/>
      </c>
      <c r="AV78" s="220">
        <f>IF(AV76&gt;=AW77,AV76-AW77,"")</f>
        <v>112480</v>
      </c>
      <c r="AW78" s="221" t="str">
        <f>IF(AV76&lt;AW77,AW77-AV76,"")</f>
        <v/>
      </c>
      <c r="AX78" s="220">
        <f>IF(AX76&gt;=AY77,AX76-AY77,"")</f>
        <v>5000</v>
      </c>
      <c r="AY78" s="221" t="str">
        <f>IF(AX76&lt;AY77,AY77-AX76,"")</f>
        <v/>
      </c>
      <c r="AZ78" s="220" t="str">
        <f>IF(AZ76&gt;=BA77,AZ76-BA77,"")</f>
        <v/>
      </c>
      <c r="BA78" s="221">
        <f>IF(AZ76&lt;BA77,BA77-AZ76,"")</f>
        <v>1067480</v>
      </c>
      <c r="BB78" s="220" t="str">
        <f>IF(BB76&gt;=BC77,BB76-BC77,"")</f>
        <v/>
      </c>
      <c r="BC78" s="221">
        <f>IF(BB76&lt;BC77,BC77-BB76,"")</f>
        <v>707382.61</v>
      </c>
      <c r="BD78" s="220" t="str">
        <f>IF(BD76&gt;=BE77,BD76-BE77,"")</f>
        <v/>
      </c>
      <c r="BE78" s="221">
        <f>IF(BD76&lt;BE77,BE77-BD76,"")</f>
        <v>253856.29199999999</v>
      </c>
      <c r="BF78" s="220">
        <f>IF(BF76&gt;=BG77,BF76-BG77,"")</f>
        <v>0</v>
      </c>
      <c r="BG78" s="221" t="str">
        <f>IF(BF76&lt;BG77,BG77-BF76,"")</f>
        <v/>
      </c>
      <c r="BH78" s="220">
        <f>IF(BH76&gt;=BI77,BH76-BI77,"")</f>
        <v>0</v>
      </c>
      <c r="BI78" s="221" t="str">
        <f>IF(BH76&lt;BI77,BI77-BH76,"")</f>
        <v/>
      </c>
      <c r="BJ78" s="220">
        <f>IF(BJ76&gt;=BK77,BJ76-BK77,"")</f>
        <v>0</v>
      </c>
      <c r="BK78" s="221" t="str">
        <f>IF(BJ76&lt;BK77,BK77-BJ76,"")</f>
        <v/>
      </c>
      <c r="BL78" s="220">
        <f>IF(BL76&gt;=BM77,BL76-BM77,"")</f>
        <v>0</v>
      </c>
      <c r="BM78" s="221" t="str">
        <f>IF(BL76&lt;BM77,BM77-BL76,"")</f>
        <v/>
      </c>
      <c r="BN78" s="220" t="str">
        <f>IF(BN76&gt;=BO77,BN76-BO77,"")</f>
        <v/>
      </c>
      <c r="BO78" s="221">
        <f>IF(BN76&lt;BO77,BO77-BN76,"")</f>
        <v>5235</v>
      </c>
      <c r="BP78" s="220">
        <f>IF(BP76&gt;=BQ77,BP76-BQ77,"")</f>
        <v>0</v>
      </c>
      <c r="BQ78" s="221" t="str">
        <f>IF(BP76&lt;BQ77,BQ77-BP76,"")</f>
        <v/>
      </c>
      <c r="BR78" s="203"/>
    </row>
    <row r="79" spans="1:71" s="202" customFormat="1">
      <c r="A79" s="235"/>
      <c r="B79" s="207" t="s">
        <v>172</v>
      </c>
      <c r="C79" s="207"/>
      <c r="D79" s="216"/>
      <c r="E79" s="217"/>
      <c r="F79" s="216"/>
      <c r="G79" s="217"/>
      <c r="H79" s="216"/>
      <c r="I79" s="217"/>
      <c r="J79" s="216"/>
      <c r="K79" s="217"/>
      <c r="L79" s="216"/>
      <c r="M79" s="217"/>
      <c r="N79" s="216"/>
      <c r="O79" s="217"/>
      <c r="P79" s="216"/>
      <c r="Q79" s="217"/>
      <c r="R79" s="216"/>
      <c r="S79" s="217"/>
      <c r="T79" s="216"/>
      <c r="U79" s="217"/>
      <c r="V79" s="216"/>
      <c r="W79" s="217"/>
      <c r="X79" s="216"/>
      <c r="Y79" s="217"/>
      <c r="Z79" s="216"/>
      <c r="AA79" s="217"/>
      <c r="AB79" s="216"/>
      <c r="AC79" s="217"/>
      <c r="AD79" s="216"/>
      <c r="AE79" s="217"/>
      <c r="AF79" s="216"/>
      <c r="AG79" s="217"/>
      <c r="AH79" s="216"/>
      <c r="AI79" s="217"/>
      <c r="AJ79" s="216"/>
      <c r="AK79" s="217"/>
      <c r="AL79" s="216"/>
      <c r="AM79" s="217"/>
      <c r="AN79" s="216"/>
      <c r="AO79" s="217"/>
      <c r="AP79" s="216"/>
      <c r="AQ79" s="217"/>
      <c r="AR79" s="216"/>
      <c r="AS79" s="217"/>
      <c r="AT79" s="216"/>
      <c r="AU79" s="217"/>
      <c r="AV79" s="216"/>
      <c r="AW79" s="217"/>
      <c r="AX79" s="216"/>
      <c r="AY79" s="217"/>
      <c r="AZ79" s="216"/>
      <c r="BA79" s="217"/>
      <c r="BB79" s="245"/>
      <c r="BC79" s="246">
        <v>1800</v>
      </c>
      <c r="BD79" s="245"/>
      <c r="BE79" s="246">
        <v>122</v>
      </c>
      <c r="BF79" s="216"/>
      <c r="BG79" s="217"/>
      <c r="BH79" s="216"/>
      <c r="BI79" s="217"/>
      <c r="BJ79" s="216"/>
      <c r="BK79" s="217"/>
      <c r="BL79" s="216"/>
      <c r="BM79" s="217"/>
      <c r="BN79" s="216"/>
      <c r="BO79" s="217"/>
      <c r="BP79" s="216"/>
      <c r="BQ79" s="217"/>
      <c r="BR79" s="193">
        <f>D79-E79+F79-G79+H79-I79+J79-K79+L79-M79+N79-O79+P79-Q79+R79-S79+T79-U79+V79-W79+X79-Y79+Z79-AA79+AB79-AC79+AD79-AE79+AF79-AG79+AH79-AI79+AJ79-AK79+AL79-AM79+AN79-AO79+AP79-AQ79+AR79-AS79+AT79-AU79+AV79-AW79+AX79-AY79+AZ79-BA79+BB79-BC79+BD79-BE79+BF79-BG79+BH79-BI79+BJ79-BK79+BL79-BM79+BN79-BO79+BP79-BQ79</f>
        <v>-1922</v>
      </c>
      <c r="BS79" s="203"/>
    </row>
    <row r="80" spans="1:71" s="202" customFormat="1" ht="13.5" thickBot="1">
      <c r="A80" s="236"/>
      <c r="B80" s="275" t="s">
        <v>669</v>
      </c>
      <c r="C80" s="237"/>
      <c r="D80" s="238">
        <f>D78+D79</f>
        <v>0</v>
      </c>
      <c r="E80" s="239"/>
      <c r="F80" s="238">
        <f>F78+F79</f>
        <v>110705.31999999995</v>
      </c>
      <c r="G80" s="239"/>
      <c r="H80" s="238"/>
      <c r="I80" s="239"/>
      <c r="J80" s="238"/>
      <c r="K80" s="239"/>
      <c r="L80" s="238"/>
      <c r="M80" s="239"/>
      <c r="N80" s="238"/>
      <c r="O80" s="239"/>
      <c r="P80" s="238"/>
      <c r="Q80" s="239"/>
      <c r="R80" s="238"/>
      <c r="S80" s="239"/>
      <c r="T80" s="238"/>
      <c r="U80" s="239"/>
      <c r="V80" s="238"/>
      <c r="W80" s="239"/>
      <c r="X80" s="238"/>
      <c r="Y80" s="239"/>
      <c r="Z80" s="238"/>
      <c r="AA80" s="239"/>
      <c r="AB80" s="238"/>
      <c r="AC80" s="239"/>
      <c r="AD80" s="238"/>
      <c r="AE80" s="239"/>
      <c r="AF80" s="238"/>
      <c r="AG80" s="239"/>
      <c r="AH80" s="238">
        <f>AH78+AH79</f>
        <v>857690.75</v>
      </c>
      <c r="AI80" s="239"/>
      <c r="AJ80" s="238"/>
      <c r="AK80" s="239"/>
      <c r="AL80" s="238"/>
      <c r="AM80" s="239"/>
      <c r="AN80" s="238"/>
      <c r="AO80" s="239"/>
      <c r="AP80" s="238">
        <f>AP78+AP79</f>
        <v>0</v>
      </c>
      <c r="AQ80" s="239"/>
      <c r="AR80" s="238">
        <f>AR78+AR79</f>
        <v>0</v>
      </c>
      <c r="AS80" s="239"/>
      <c r="AT80" s="238">
        <f>AT78+AT79</f>
        <v>950000</v>
      </c>
      <c r="AU80" s="239"/>
      <c r="AV80" s="238">
        <f>AV78+AV79</f>
        <v>112480</v>
      </c>
      <c r="AW80" s="239"/>
      <c r="AX80" s="238">
        <f>AX78+AX79</f>
        <v>5000</v>
      </c>
      <c r="AY80" s="239"/>
      <c r="AZ80" s="238"/>
      <c r="BA80" s="239">
        <f>BA78+BA79</f>
        <v>1067480</v>
      </c>
      <c r="BB80" s="238"/>
      <c r="BC80" s="239">
        <f>BC78+BC79-BB79</f>
        <v>709182.61</v>
      </c>
      <c r="BD80" s="238"/>
      <c r="BE80" s="239">
        <f>BE78+BE79-BD79</f>
        <v>253978.29199999999</v>
      </c>
      <c r="BF80" s="238">
        <f>BF78+BF79</f>
        <v>0</v>
      </c>
      <c r="BG80" s="239"/>
      <c r="BH80" s="238">
        <f>BH78+BH79</f>
        <v>0</v>
      </c>
      <c r="BI80" s="239"/>
      <c r="BJ80" s="238">
        <f>BJ78+BJ79</f>
        <v>0</v>
      </c>
      <c r="BK80" s="239"/>
      <c r="BL80" s="238">
        <f>BL78+BL79</f>
        <v>0</v>
      </c>
      <c r="BM80" s="239"/>
      <c r="BN80" s="238"/>
      <c r="BO80" s="239">
        <f>BO78+BO79</f>
        <v>5235</v>
      </c>
      <c r="BP80" s="238">
        <f>BP78+BP79</f>
        <v>0</v>
      </c>
      <c r="BQ80" s="239"/>
      <c r="BR80" s="193">
        <f>D80-E80+F80-G80+H80-I80+J80-K80+L80-M80+N80-O80+P80-Q80+R80-S80+T80-U80+V80-W80+X80-Y80+Z80-AA80+AB80-AC80+AD80-AE80+AF80-AG80+AH80-AI80+AJ80-AK80+AL80-AM80+AN80-AO80+AP80-AQ80+AR80-AS80+AT80-AU80+AV80-AW80+AX80-AY80+AZ80-BA80+BB80-BC80+BD80-BE80+BF80-BG80+BH80-BI80+BJ80-BK80+BL80-BM80+BN80-BO80+BP80-BQ80</f>
        <v>0.16799999985960312</v>
      </c>
    </row>
    <row r="81" spans="2:70">
      <c r="B81" s="61"/>
      <c r="G81" s="113"/>
      <c r="H81" s="272"/>
      <c r="BR81" s="113"/>
    </row>
    <row r="82" spans="2:70">
      <c r="E82" s="43"/>
      <c r="F82" s="113"/>
    </row>
    <row r="83" spans="2:70">
      <c r="BR83" s="113"/>
    </row>
    <row r="84" spans="2:70" ht="24.75">
      <c r="B84" s="147" t="s">
        <v>611</v>
      </c>
      <c r="F84" s="113"/>
    </row>
    <row r="86" spans="2:70" ht="19.5">
      <c r="B86" s="148" t="s">
        <v>51</v>
      </c>
      <c r="C86" s="148"/>
      <c r="D86" s="148">
        <v>2011</v>
      </c>
      <c r="E86" s="148">
        <v>2010</v>
      </c>
    </row>
    <row r="87" spans="2:70">
      <c r="B87" s="35"/>
    </row>
    <row r="88" spans="2:70">
      <c r="B88" s="33" t="s">
        <v>52</v>
      </c>
    </row>
    <row r="89" spans="2:70">
      <c r="B89" s="33" t="s">
        <v>53</v>
      </c>
      <c r="H89" s="35"/>
      <c r="AF89" s="34"/>
      <c r="AG89" s="34"/>
    </row>
    <row r="90" spans="2:70">
      <c r="B90" s="36" t="s">
        <v>54</v>
      </c>
      <c r="D90" s="155">
        <f>$D$76-$E$77</f>
        <v>0</v>
      </c>
      <c r="E90" s="155">
        <v>100</v>
      </c>
      <c r="H90" s="35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5"/>
      <c r="AG90" s="75"/>
    </row>
    <row r="91" spans="2:70">
      <c r="B91" s="264" t="s">
        <v>620</v>
      </c>
      <c r="C91" s="177" t="s">
        <v>378</v>
      </c>
      <c r="D91" s="155">
        <f>$F$76-$G$77</f>
        <v>110705.31999999995</v>
      </c>
      <c r="E91" s="155">
        <v>970766</v>
      </c>
      <c r="F91" s="77"/>
      <c r="H91" s="64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5"/>
      <c r="AG91" s="75"/>
    </row>
    <row r="92" spans="2:70">
      <c r="B92" s="264" t="s">
        <v>612</v>
      </c>
      <c r="C92" s="177" t="s">
        <v>378</v>
      </c>
      <c r="D92" s="155">
        <f>$AH$76-$AI$77</f>
        <v>857690.75</v>
      </c>
      <c r="E92" s="155">
        <f>$AH$8-$AI$8</f>
        <v>0</v>
      </c>
      <c r="F92" s="77"/>
      <c r="H92" s="64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5"/>
      <c r="AG92" s="75"/>
    </row>
    <row r="93" spans="2:70">
      <c r="B93" s="36" t="s">
        <v>58</v>
      </c>
      <c r="C93" s="177"/>
      <c r="D93" s="155">
        <f>$BF$76-$BG$77</f>
        <v>0</v>
      </c>
      <c r="E93" s="155">
        <v>0</v>
      </c>
      <c r="F93" s="77"/>
      <c r="G93" s="77"/>
      <c r="H93" s="64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5"/>
      <c r="AG93" s="75"/>
    </row>
    <row r="94" spans="2:70">
      <c r="B94" s="36" t="s">
        <v>484</v>
      </c>
      <c r="C94" s="177"/>
      <c r="D94" s="155">
        <f>$BP$76-$BQ$77</f>
        <v>0</v>
      </c>
      <c r="E94" s="155">
        <v>0</v>
      </c>
      <c r="F94" s="77"/>
      <c r="H94" s="64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5"/>
      <c r="AG94" s="75"/>
    </row>
    <row r="95" spans="2:70">
      <c r="B95" s="36" t="s">
        <v>144</v>
      </c>
      <c r="C95" s="177"/>
      <c r="D95" s="155">
        <f>$BJ$76-$BK$77</f>
        <v>0</v>
      </c>
      <c r="E95" s="155">
        <f>$BJ$8-$BK$8</f>
        <v>0</v>
      </c>
      <c r="F95" s="77"/>
      <c r="G95" s="77"/>
      <c r="H95" s="65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5"/>
      <c r="AG95" s="75"/>
    </row>
    <row r="96" spans="2:70" ht="13.5" thickBot="1">
      <c r="B96" s="33" t="s">
        <v>60</v>
      </c>
      <c r="D96" s="156">
        <f>SUM(D90:D95)</f>
        <v>968396.07</v>
      </c>
      <c r="E96" s="156">
        <f>SUM(E90:E95)</f>
        <v>970866</v>
      </c>
      <c r="F96" s="37"/>
      <c r="H96" s="64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5"/>
      <c r="AG96" s="75"/>
    </row>
    <row r="97" spans="2:33" ht="13.5" thickTop="1">
      <c r="B97" s="35"/>
      <c r="D97" s="77"/>
      <c r="E97" s="77"/>
      <c r="F97" s="37"/>
      <c r="H97" s="64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5"/>
      <c r="AG97" s="75"/>
    </row>
    <row r="98" spans="2:33">
      <c r="B98" s="35"/>
      <c r="D98" s="77"/>
      <c r="E98" s="94"/>
      <c r="F98" s="37"/>
      <c r="H98" s="64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5"/>
      <c r="AG98" s="75"/>
    </row>
    <row r="99" spans="2:33">
      <c r="B99" s="33" t="s">
        <v>61</v>
      </c>
      <c r="D99" s="77"/>
      <c r="E99" s="77"/>
      <c r="F99" s="37"/>
      <c r="H99" s="64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5"/>
      <c r="AG99" s="75"/>
    </row>
    <row r="100" spans="2:33">
      <c r="B100" s="36"/>
      <c r="D100" s="155"/>
      <c r="E100" s="155"/>
      <c r="F100" s="37"/>
      <c r="G100" s="77"/>
      <c r="H100" s="64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5"/>
      <c r="AG100" s="75"/>
    </row>
    <row r="101" spans="2:33">
      <c r="B101" s="35" t="s">
        <v>63</v>
      </c>
      <c r="C101" s="177" t="s">
        <v>430</v>
      </c>
      <c r="D101" s="155">
        <f>$AT$76-$AU$77</f>
        <v>950000</v>
      </c>
      <c r="E101" s="155">
        <f>$AT$8-$AU$8</f>
        <v>950000</v>
      </c>
      <c r="F101" s="37"/>
      <c r="H101" s="64"/>
    </row>
    <row r="102" spans="2:33">
      <c r="B102" s="36" t="s">
        <v>64</v>
      </c>
      <c r="C102" s="177" t="s">
        <v>430</v>
      </c>
      <c r="D102" s="155">
        <f>$AV$76-$AW$77</f>
        <v>112480</v>
      </c>
      <c r="E102" s="155">
        <f>$AV$8-$AW$8</f>
        <v>112480</v>
      </c>
      <c r="F102" s="37"/>
    </row>
    <row r="103" spans="2:33">
      <c r="B103" s="36" t="s">
        <v>339</v>
      </c>
      <c r="C103" s="177" t="s">
        <v>430</v>
      </c>
      <c r="D103" s="155">
        <f>$AX$76-$AY$77</f>
        <v>5000</v>
      </c>
      <c r="E103" s="155">
        <f>$AX$8-$AY$8</f>
        <v>5000</v>
      </c>
      <c r="F103" s="37"/>
    </row>
    <row r="104" spans="2:33" ht="13.5" thickBot="1">
      <c r="B104" s="38" t="s">
        <v>66</v>
      </c>
      <c r="D104" s="156">
        <f>SUM(D101:D103)</f>
        <v>1067480</v>
      </c>
      <c r="E104" s="156">
        <f>SUM(E101:E103)</f>
        <v>1067480</v>
      </c>
      <c r="F104" s="37"/>
    </row>
    <row r="105" spans="2:33" ht="13.5" thickTop="1">
      <c r="B105" s="35"/>
      <c r="D105" s="77"/>
      <c r="E105" s="77"/>
      <c r="F105" s="37"/>
    </row>
    <row r="106" spans="2:33">
      <c r="B106" s="35"/>
      <c r="D106" s="77"/>
      <c r="E106" s="77"/>
      <c r="F106" s="37"/>
    </row>
    <row r="107" spans="2:33" ht="13.5" thickBot="1">
      <c r="B107" s="38" t="s">
        <v>67</v>
      </c>
      <c r="D107" s="156">
        <f>D96+D104</f>
        <v>2035876.0699999998</v>
      </c>
      <c r="E107" s="156">
        <f>E96+E104</f>
        <v>2038346</v>
      </c>
      <c r="F107" s="37"/>
      <c r="AF107" s="75"/>
      <c r="AG107" s="75"/>
    </row>
    <row r="108" spans="2:33" ht="13.5" thickTop="1">
      <c r="B108" s="35"/>
      <c r="D108" s="77"/>
      <c r="E108" s="77"/>
      <c r="AF108" s="75"/>
      <c r="AG108" s="75"/>
    </row>
    <row r="109" spans="2:33">
      <c r="B109" s="35"/>
      <c r="D109" s="77"/>
      <c r="E109" s="77"/>
      <c r="AF109" s="75"/>
      <c r="AG109" s="75"/>
    </row>
    <row r="110" spans="2:33">
      <c r="B110" s="33" t="s">
        <v>68</v>
      </c>
      <c r="D110" s="77"/>
      <c r="E110" s="77"/>
      <c r="AF110" s="75"/>
      <c r="AG110" s="75"/>
    </row>
    <row r="111" spans="2:33">
      <c r="B111" s="35" t="s">
        <v>69</v>
      </c>
      <c r="C111" s="177" t="s">
        <v>501</v>
      </c>
      <c r="D111" s="155">
        <f>-$BN$76+$BO$77</f>
        <v>5235</v>
      </c>
      <c r="E111" s="155">
        <v>9627</v>
      </c>
      <c r="AF111" s="75"/>
      <c r="AG111" s="75"/>
    </row>
    <row r="112" spans="2:33" ht="13.5" thickBot="1">
      <c r="B112" s="33" t="s">
        <v>70</v>
      </c>
      <c r="D112" s="156">
        <f>SUM(D111:D111)</f>
        <v>5235</v>
      </c>
      <c r="E112" s="156">
        <f>SUM(E111:E111)</f>
        <v>9627</v>
      </c>
      <c r="H112" s="34"/>
    </row>
    <row r="113" spans="2:8" ht="13.5" thickTop="1">
      <c r="B113" s="35"/>
      <c r="D113" s="77"/>
      <c r="E113" s="77"/>
      <c r="G113" s="152"/>
    </row>
    <row r="114" spans="2:8">
      <c r="B114" s="35"/>
      <c r="D114" s="77"/>
      <c r="E114" s="77"/>
    </row>
    <row r="115" spans="2:8">
      <c r="B115" s="33" t="s">
        <v>71</v>
      </c>
      <c r="D115" s="77"/>
      <c r="E115" s="77"/>
    </row>
    <row r="116" spans="2:8">
      <c r="B116" s="35" t="s">
        <v>72</v>
      </c>
      <c r="C116" s="177" t="s">
        <v>486</v>
      </c>
      <c r="D116" s="155">
        <f>-$AZ$76+$BA$77</f>
        <v>1067480</v>
      </c>
      <c r="E116" s="155">
        <f>-$AZ$8+$BA$8</f>
        <v>1067480</v>
      </c>
      <c r="F116" s="77"/>
      <c r="H116" s="77"/>
    </row>
    <row r="117" spans="2:8">
      <c r="B117" s="36" t="s">
        <v>73</v>
      </c>
      <c r="C117" s="177" t="s">
        <v>486</v>
      </c>
      <c r="D117" s="155">
        <f>-$BB$76+$BC$77</f>
        <v>707382.61</v>
      </c>
      <c r="E117" s="155">
        <v>707382.61</v>
      </c>
    </row>
    <row r="118" spans="2:8">
      <c r="B118" s="36" t="s">
        <v>74</v>
      </c>
      <c r="C118" s="177" t="s">
        <v>486</v>
      </c>
      <c r="D118" s="155">
        <f>-$BD$76+$BE$77</f>
        <v>253856.29199999999</v>
      </c>
      <c r="E118" s="155">
        <v>253856.29199999999</v>
      </c>
      <c r="F118" s="39"/>
    </row>
    <row r="119" spans="2:8" ht="13.5" thickBot="1">
      <c r="B119" s="38" t="s">
        <v>75</v>
      </c>
      <c r="D119" s="156">
        <f>SUM(D116:D118)</f>
        <v>2028718.9019999998</v>
      </c>
      <c r="E119" s="156">
        <f>SUM(E116:E118)</f>
        <v>2028718.9019999998</v>
      </c>
      <c r="F119" s="66"/>
    </row>
    <row r="120" spans="2:8" ht="13.5" thickTop="1">
      <c r="B120" s="35"/>
      <c r="D120" s="77"/>
      <c r="E120" s="77"/>
    </row>
    <row r="121" spans="2:8">
      <c r="B121" s="33" t="s">
        <v>76</v>
      </c>
      <c r="D121" s="77"/>
      <c r="E121" s="77"/>
      <c r="F121" s="77"/>
    </row>
    <row r="122" spans="2:8">
      <c r="B122" s="36" t="s">
        <v>369</v>
      </c>
      <c r="D122" s="155">
        <f>D107-D112-D119</f>
        <v>1922.1680000000633</v>
      </c>
      <c r="E122" s="155"/>
      <c r="F122" s="41"/>
    </row>
    <row r="123" spans="2:8">
      <c r="B123" s="35"/>
      <c r="D123" s="77"/>
      <c r="E123" s="77"/>
    </row>
    <row r="124" spans="2:8" ht="13.5" thickBot="1">
      <c r="B124" s="33" t="s">
        <v>77</v>
      </c>
      <c r="D124" s="156">
        <f>D112+D119+D122</f>
        <v>2035876.0699999998</v>
      </c>
      <c r="E124" s="156">
        <f>E112+E119+E122</f>
        <v>2038345.9019999998</v>
      </c>
    </row>
    <row r="125" spans="2:8" ht="13.5" thickTop="1">
      <c r="B125" s="35"/>
      <c r="D125" s="77"/>
      <c r="E125" s="77"/>
    </row>
    <row r="126" spans="2:8">
      <c r="D126" s="77"/>
      <c r="E126" s="77"/>
    </row>
    <row r="127" spans="2:8" ht="24.75">
      <c r="B127" s="147" t="s">
        <v>613</v>
      </c>
      <c r="D127" s="77"/>
      <c r="E127" s="77"/>
    </row>
    <row r="128" spans="2:8">
      <c r="D128" s="77"/>
      <c r="E128" s="77"/>
      <c r="F128" s="35"/>
      <c r="G128" s="73"/>
    </row>
    <row r="129" spans="2:31" ht="19.5">
      <c r="B129" s="148" t="s">
        <v>313</v>
      </c>
      <c r="C129" s="148"/>
      <c r="D129" s="148">
        <v>2011</v>
      </c>
      <c r="E129" s="148">
        <v>2010</v>
      </c>
      <c r="F129" s="148" t="s">
        <v>525</v>
      </c>
      <c r="G129" s="149" t="s">
        <v>314</v>
      </c>
      <c r="H129" s="150" t="s">
        <v>315</v>
      </c>
      <c r="I129" s="148" t="s">
        <v>614</v>
      </c>
    </row>
    <row r="130" spans="2:31">
      <c r="B130" s="34" t="s">
        <v>153</v>
      </c>
      <c r="D130" s="77"/>
      <c r="E130" s="77"/>
      <c r="F130" s="35"/>
      <c r="G130" s="35"/>
    </row>
    <row r="131" spans="2:31">
      <c r="B131" t="s">
        <v>154</v>
      </c>
      <c r="D131" s="155">
        <f>-$AF$76+$AG$77</f>
        <v>22000</v>
      </c>
      <c r="E131" s="155">
        <v>22800</v>
      </c>
      <c r="F131" s="155">
        <v>22000</v>
      </c>
      <c r="G131" s="155">
        <f>D131-F131</f>
        <v>0</v>
      </c>
      <c r="H131" s="151">
        <f>IF(F131=0,"---",G131/F131)</f>
        <v>0</v>
      </c>
      <c r="I131" s="155">
        <v>22000</v>
      </c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</row>
    <row r="132" spans="2:31">
      <c r="B132" t="s">
        <v>618</v>
      </c>
      <c r="C132" s="177" t="s">
        <v>378</v>
      </c>
      <c r="D132" s="155">
        <f>-$AJ$76+$AK$77</f>
        <v>9000.4699999999993</v>
      </c>
      <c r="E132" s="155">
        <v>10855.4</v>
      </c>
      <c r="F132" s="155">
        <v>0</v>
      </c>
      <c r="G132" s="155">
        <f>D132-F132</f>
        <v>9000.4699999999993</v>
      </c>
      <c r="H132" s="151" t="str">
        <f>IF(F132=0,"---",G132/F132)</f>
        <v>---</v>
      </c>
      <c r="I132" s="155">
        <v>11000</v>
      </c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</row>
    <row r="133" spans="2:31">
      <c r="B133" t="s">
        <v>553</v>
      </c>
      <c r="D133" s="155">
        <f>-$AL$76+$AM$77</f>
        <v>0</v>
      </c>
      <c r="E133" s="155">
        <v>936.35</v>
      </c>
      <c r="F133" s="155">
        <v>13000</v>
      </c>
      <c r="G133" s="155">
        <f>D133-F133</f>
        <v>-13000</v>
      </c>
      <c r="H133" s="151">
        <f>IF(F133=0,"---",G133/F133)</f>
        <v>-1</v>
      </c>
      <c r="I133" s="155">
        <v>0</v>
      </c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</row>
    <row r="134" spans="2:31">
      <c r="B134" s="79" t="s">
        <v>355</v>
      </c>
      <c r="D134" s="155">
        <f>-$AN$76+$AO$77</f>
        <v>0</v>
      </c>
      <c r="E134" s="155">
        <v>0</v>
      </c>
      <c r="F134" s="155">
        <v>0</v>
      </c>
      <c r="G134" s="155">
        <f>D134-F134</f>
        <v>0</v>
      </c>
      <c r="H134" s="151" t="str">
        <f>IF(F134=0,"---",G134/F134)</f>
        <v>---</v>
      </c>
      <c r="I134" s="155">
        <v>0</v>
      </c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</row>
    <row r="135" spans="2:31" ht="16.5" thickBot="1">
      <c r="B135" s="154" t="s">
        <v>158</v>
      </c>
      <c r="C135" s="154"/>
      <c r="D135" s="156">
        <f>SUM(D131:D134)</f>
        <v>31000.47</v>
      </c>
      <c r="E135" s="156">
        <f>SUM(E131:E134)</f>
        <v>34591.75</v>
      </c>
      <c r="F135" s="156">
        <f>SUM(F131:F134)</f>
        <v>35000</v>
      </c>
      <c r="G135" s="156">
        <f>SUM(G131:G134)</f>
        <v>-3999.5300000000007</v>
      </c>
      <c r="H135" s="153">
        <f>IF(F135=0,"---",G135/F135)</f>
        <v>-0.11427228571428573</v>
      </c>
      <c r="I135" s="156">
        <f>SUM(I131:I134)</f>
        <v>33000</v>
      </c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</row>
    <row r="136" spans="2:31" ht="13.5" thickTop="1">
      <c r="D136" s="77"/>
      <c r="E136" s="77"/>
      <c r="F136" s="77"/>
      <c r="G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</row>
    <row r="137" spans="2:31">
      <c r="B137" s="34" t="s">
        <v>159</v>
      </c>
      <c r="D137" s="77"/>
      <c r="E137" s="77"/>
      <c r="F137" s="77"/>
      <c r="G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</row>
    <row r="138" spans="2:31">
      <c r="B138" t="s">
        <v>485</v>
      </c>
      <c r="C138" s="177" t="s">
        <v>644</v>
      </c>
      <c r="D138" s="155">
        <f>$H$76-$I$77</f>
        <v>5000</v>
      </c>
      <c r="E138" s="155">
        <v>5000</v>
      </c>
      <c r="F138" s="155">
        <v>10000</v>
      </c>
      <c r="G138" s="155">
        <f>D138-F138</f>
        <v>-5000</v>
      </c>
      <c r="H138" s="151">
        <f t="shared" ref="H138:H150" si="1">IF(F138=0,"---",G138/F138)</f>
        <v>-0.5</v>
      </c>
      <c r="I138" s="155">
        <v>10000</v>
      </c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</row>
    <row r="139" spans="2:31">
      <c r="B139" t="s">
        <v>487</v>
      </c>
      <c r="C139" s="177"/>
      <c r="D139" s="155">
        <f>$J$76-$K$77</f>
        <v>0</v>
      </c>
      <c r="E139" s="155">
        <v>14727</v>
      </c>
      <c r="F139" s="155">
        <v>5000</v>
      </c>
      <c r="G139" s="155">
        <f t="shared" ref="G139:G149" si="2">D139-F139</f>
        <v>-5000</v>
      </c>
      <c r="H139" s="151">
        <f t="shared" si="1"/>
        <v>-1</v>
      </c>
      <c r="I139" s="155">
        <v>0</v>
      </c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</row>
    <row r="140" spans="2:31">
      <c r="B140" t="s">
        <v>488</v>
      </c>
      <c r="C140" s="177" t="s">
        <v>379</v>
      </c>
      <c r="D140" s="155">
        <f>$L$76-$M$77</f>
        <v>8826.4</v>
      </c>
      <c r="E140" s="155">
        <v>5211.7</v>
      </c>
      <c r="F140" s="155">
        <v>10500</v>
      </c>
      <c r="G140" s="155">
        <f t="shared" si="2"/>
        <v>-1673.6000000000004</v>
      </c>
      <c r="H140" s="151">
        <f t="shared" si="1"/>
        <v>-0.15939047619047622</v>
      </c>
      <c r="I140" s="155">
        <v>5000</v>
      </c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</row>
    <row r="141" spans="2:31">
      <c r="B141" t="s">
        <v>163</v>
      </c>
      <c r="C141" s="177" t="s">
        <v>380</v>
      </c>
      <c r="D141" s="155">
        <f>$N$76-$O$77</f>
        <v>9753.9</v>
      </c>
      <c r="E141" s="155">
        <v>1569</v>
      </c>
      <c r="F141" s="155">
        <v>15000</v>
      </c>
      <c r="G141" s="155">
        <f t="shared" si="2"/>
        <v>-5246.1</v>
      </c>
      <c r="H141" s="151">
        <f t="shared" si="1"/>
        <v>-0.34974000000000005</v>
      </c>
      <c r="I141" s="155">
        <v>10000</v>
      </c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</row>
    <row r="142" spans="2:31">
      <c r="B142" t="s">
        <v>321</v>
      </c>
      <c r="D142" s="155">
        <f>$P$76-$Q$77</f>
        <v>0</v>
      </c>
      <c r="E142" s="155">
        <v>0</v>
      </c>
      <c r="F142" s="155">
        <v>1200</v>
      </c>
      <c r="G142" s="155">
        <f t="shared" si="2"/>
        <v>-1200</v>
      </c>
      <c r="H142" s="151">
        <f t="shared" si="1"/>
        <v>-1</v>
      </c>
      <c r="I142" s="155">
        <v>0</v>
      </c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</row>
    <row r="143" spans="2:31">
      <c r="B143" t="s">
        <v>95</v>
      </c>
      <c r="D143" s="155">
        <f>$R$76-$S$77</f>
        <v>2793</v>
      </c>
      <c r="E143" s="155">
        <v>2315.6</v>
      </c>
      <c r="F143" s="155">
        <v>2500</v>
      </c>
      <c r="G143" s="155">
        <f t="shared" si="2"/>
        <v>293</v>
      </c>
      <c r="H143" s="151">
        <f t="shared" si="1"/>
        <v>0.1172</v>
      </c>
      <c r="I143" s="155">
        <v>2800</v>
      </c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</row>
    <row r="144" spans="2:31">
      <c r="B144" t="s">
        <v>166</v>
      </c>
      <c r="C144" s="177" t="s">
        <v>428</v>
      </c>
      <c r="D144" s="155">
        <f>$T$76-$U$77</f>
        <v>-30</v>
      </c>
      <c r="E144" s="155">
        <v>2314</v>
      </c>
      <c r="F144" s="155">
        <v>3500</v>
      </c>
      <c r="G144" s="155">
        <f t="shared" si="2"/>
        <v>-3530</v>
      </c>
      <c r="H144" s="151">
        <f t="shared" si="1"/>
        <v>-1.0085714285714287</v>
      </c>
      <c r="I144" s="155">
        <v>5000</v>
      </c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</row>
    <row r="145" spans="2:31">
      <c r="B145" t="s">
        <v>169</v>
      </c>
      <c r="D145" s="155">
        <f>$V$76-$W$77</f>
        <v>2500</v>
      </c>
      <c r="E145" s="155">
        <v>2500</v>
      </c>
      <c r="F145" s="155">
        <v>2500</v>
      </c>
      <c r="G145" s="155">
        <f t="shared" si="2"/>
        <v>0</v>
      </c>
      <c r="H145" s="151">
        <f t="shared" si="1"/>
        <v>0</v>
      </c>
      <c r="I145" s="155">
        <v>2500</v>
      </c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</row>
    <row r="146" spans="2:31">
      <c r="B146" t="s">
        <v>170</v>
      </c>
      <c r="D146" s="155">
        <f>$X$76-$Y$77</f>
        <v>235</v>
      </c>
      <c r="E146" s="155">
        <v>235</v>
      </c>
      <c r="F146" s="155">
        <v>250</v>
      </c>
      <c r="G146" s="155">
        <f t="shared" si="2"/>
        <v>-15</v>
      </c>
      <c r="H146" s="151">
        <f t="shared" si="1"/>
        <v>-0.06</v>
      </c>
      <c r="I146" s="155">
        <v>235</v>
      </c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</row>
    <row r="147" spans="2:31">
      <c r="B147" t="s">
        <v>427</v>
      </c>
      <c r="C147" s="177" t="s">
        <v>502</v>
      </c>
      <c r="D147" s="155">
        <f>$Z$76-$AA$77</f>
        <v>0</v>
      </c>
      <c r="E147" s="155">
        <v>0</v>
      </c>
      <c r="F147" s="155">
        <v>0</v>
      </c>
      <c r="G147" s="155">
        <f>D147-F147</f>
        <v>0</v>
      </c>
      <c r="H147" s="151" t="str">
        <f>IF(F147=0,"---",G147/F147)</f>
        <v>---</v>
      </c>
      <c r="I147" s="155">
        <v>0</v>
      </c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</row>
    <row r="148" spans="2:31">
      <c r="B148" t="s">
        <v>567</v>
      </c>
      <c r="C148" s="177"/>
      <c r="D148" s="155">
        <v>0</v>
      </c>
      <c r="E148" s="155">
        <v>0</v>
      </c>
      <c r="F148" s="155">
        <v>10000</v>
      </c>
      <c r="G148" s="155"/>
      <c r="H148" s="151"/>
      <c r="I148" s="155">
        <v>10000</v>
      </c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</row>
    <row r="149" spans="2:31">
      <c r="B149" t="s">
        <v>637</v>
      </c>
      <c r="C149" s="177" t="s">
        <v>506</v>
      </c>
      <c r="D149" s="155">
        <f>$AD$76-$AE$77</f>
        <v>0</v>
      </c>
      <c r="E149" s="155">
        <v>0</v>
      </c>
      <c r="F149" s="155">
        <v>0</v>
      </c>
      <c r="G149" s="155">
        <f t="shared" si="2"/>
        <v>0</v>
      </c>
      <c r="H149" s="151" t="str">
        <f t="shared" si="1"/>
        <v>---</v>
      </c>
      <c r="I149" s="155">
        <v>5000</v>
      </c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</row>
    <row r="150" spans="2:31" ht="16.5" thickBot="1">
      <c r="B150" s="154" t="s">
        <v>171</v>
      </c>
      <c r="C150" s="154"/>
      <c r="D150" s="156">
        <f>SUM(D138:D149)</f>
        <v>29078.3</v>
      </c>
      <c r="E150" s="156">
        <f>SUM(E138:E149)</f>
        <v>33872.300000000003</v>
      </c>
      <c r="F150" s="156">
        <f>SUM(F138:F149)</f>
        <v>60450</v>
      </c>
      <c r="G150" s="156">
        <f>SUM(G138:G149)</f>
        <v>-21371.7</v>
      </c>
      <c r="H150" s="153">
        <f t="shared" si="1"/>
        <v>-0.35354342431761787</v>
      </c>
      <c r="I150" s="156">
        <f>SUM(I138:I149)</f>
        <v>50535</v>
      </c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</row>
    <row r="151" spans="2:31" ht="13.5" thickTop="1"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</row>
    <row r="152" spans="2:31" ht="16.5" thickBot="1">
      <c r="B152" s="154" t="s">
        <v>141</v>
      </c>
      <c r="C152" s="154"/>
      <c r="D152" s="156">
        <f>D135-D150</f>
        <v>1922.1700000000019</v>
      </c>
      <c r="E152" s="156">
        <v>720</v>
      </c>
      <c r="F152" s="156">
        <f>F135-F150</f>
        <v>-25450</v>
      </c>
      <c r="G152" s="156">
        <f>G135-G150</f>
        <v>17372.169999999998</v>
      </c>
      <c r="H152" s="153">
        <f>IF(F152=0,"---",G152/F152)</f>
        <v>-0.68259999999999998</v>
      </c>
      <c r="I152" s="156">
        <f>I135-I150</f>
        <v>-17535</v>
      </c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</row>
    <row r="153" spans="2:31" ht="13.5" thickTop="1">
      <c r="D153" s="77"/>
      <c r="E153" s="77"/>
      <c r="F153" s="77"/>
      <c r="G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</row>
    <row r="154" spans="2:31">
      <c r="B154" s="34" t="s">
        <v>172</v>
      </c>
      <c r="D154" s="77"/>
      <c r="E154" s="77"/>
      <c r="F154" s="77"/>
      <c r="G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</row>
    <row r="155" spans="2:31">
      <c r="B155" t="s">
        <v>173</v>
      </c>
      <c r="D155" s="155">
        <f>SUM(D132:D133)*0.2</f>
        <v>1800.0940000000001</v>
      </c>
      <c r="E155" s="155">
        <v>2358</v>
      </c>
      <c r="F155" s="155">
        <f>SUM(F132:F133)*0.2</f>
        <v>2600</v>
      </c>
      <c r="G155" s="155">
        <f>D155-F155</f>
        <v>-799.90599999999995</v>
      </c>
      <c r="H155" s="151">
        <f>IF(F155=0,"---",G155/F155)</f>
        <v>-0.3076561538461538</v>
      </c>
      <c r="I155" s="155">
        <f>SUM(I132:I133)*0.2</f>
        <v>2200</v>
      </c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</row>
    <row r="156" spans="2:31">
      <c r="B156" t="s">
        <v>174</v>
      </c>
      <c r="D156" s="155">
        <f>D152-D155</f>
        <v>122.07600000000184</v>
      </c>
      <c r="E156" s="155">
        <v>-1638</v>
      </c>
      <c r="F156" s="155">
        <f>F152-F155</f>
        <v>-28050</v>
      </c>
      <c r="G156" s="155">
        <f>D156-F156</f>
        <v>28172.076000000001</v>
      </c>
      <c r="H156" s="151">
        <f>IF(F156=0,"---",G156/F156)</f>
        <v>-1.0043520855614974</v>
      </c>
      <c r="I156" s="155">
        <f>I152-I155</f>
        <v>-19735</v>
      </c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</row>
    <row r="157" spans="2:31" ht="16.5" thickBot="1">
      <c r="B157" s="154" t="s">
        <v>175</v>
      </c>
      <c r="C157" s="154"/>
      <c r="D157" s="156">
        <f>SUM(D155:D156)</f>
        <v>1922.1700000000019</v>
      </c>
      <c r="E157" s="156">
        <f>SUM(E155:E156)</f>
        <v>720</v>
      </c>
      <c r="F157" s="156">
        <f>SUM(F155:F156)</f>
        <v>-25450</v>
      </c>
      <c r="G157" s="156">
        <f>D157-F157</f>
        <v>27372.170000000002</v>
      </c>
      <c r="H157" s="153">
        <f>IF(F157=0,"---",G157/F157)</f>
        <v>-1.0755273084479373</v>
      </c>
      <c r="I157" s="156">
        <f>SUM(I155:I156)</f>
        <v>-17535</v>
      </c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</row>
    <row r="158" spans="2:31" ht="13.5" thickTop="1"/>
    <row r="159" spans="2:31">
      <c r="F159" s="113"/>
    </row>
    <row r="160" spans="2:31">
      <c r="D160" s="79" t="str">
        <f>IF(AND(D122-D157&lt;1,D122-D157&gt;-1),"OK","FEIL !!")</f>
        <v>OK</v>
      </c>
      <c r="F160" s="113"/>
    </row>
    <row r="161" spans="2:6">
      <c r="F161" s="77"/>
    </row>
    <row r="162" spans="2:6">
      <c r="B162" s="34" t="s">
        <v>505</v>
      </c>
      <c r="D162" s="77"/>
      <c r="F162" s="77"/>
    </row>
    <row r="163" spans="2:6">
      <c r="D163" s="77"/>
      <c r="F163" s="77"/>
    </row>
    <row r="164" spans="2:6">
      <c r="B164" s="177" t="s">
        <v>378</v>
      </c>
      <c r="D164" s="77"/>
      <c r="F164" s="77"/>
    </row>
    <row r="165" spans="2:6">
      <c r="B165" s="265" t="s">
        <v>621</v>
      </c>
      <c r="F165" s="77"/>
    </row>
    <row r="166" spans="2:6">
      <c r="B166" s="265" t="s">
        <v>622</v>
      </c>
      <c r="D166" s="77"/>
    </row>
    <row r="167" spans="2:6">
      <c r="B167" s="265" t="s">
        <v>623</v>
      </c>
      <c r="D167" s="77"/>
      <c r="F167" s="77"/>
    </row>
    <row r="168" spans="2:6">
      <c r="B168" s="265" t="s">
        <v>624</v>
      </c>
      <c r="D168" s="77">
        <v>1309</v>
      </c>
      <c r="F168" s="77"/>
    </row>
    <row r="169" spans="2:6">
      <c r="B169" s="267" t="s">
        <v>625</v>
      </c>
      <c r="C169" s="37"/>
      <c r="D169" s="94">
        <v>7691</v>
      </c>
      <c r="F169" s="77"/>
    </row>
    <row r="170" spans="2:6" ht="13.5" thickBot="1">
      <c r="B170" s="199" t="s">
        <v>197</v>
      </c>
      <c r="C170" s="266"/>
      <c r="D170" s="175">
        <v>9000</v>
      </c>
      <c r="F170" s="77"/>
    </row>
    <row r="171" spans="2:6" ht="13.5" thickTop="1">
      <c r="D171" s="77"/>
      <c r="F171" s="77"/>
    </row>
    <row r="172" spans="2:6">
      <c r="B172" s="177" t="s">
        <v>379</v>
      </c>
      <c r="C172" s="82"/>
      <c r="D172" s="201"/>
      <c r="E172" s="65"/>
    </row>
    <row r="173" spans="2:6">
      <c r="B173" s="34" t="s">
        <v>568</v>
      </c>
      <c r="C173" s="82"/>
      <c r="D173" s="201"/>
      <c r="E173" s="65"/>
    </row>
    <row r="174" spans="2:6">
      <c r="B174" s="265" t="s">
        <v>626</v>
      </c>
      <c r="C174" s="82"/>
      <c r="D174" s="64">
        <f>-2617</f>
        <v>-2617</v>
      </c>
      <c r="E174" s="64"/>
      <c r="F174" s="77"/>
    </row>
    <row r="175" spans="2:6">
      <c r="B175" s="265" t="s">
        <v>627</v>
      </c>
      <c r="C175" s="82"/>
      <c r="D175" s="64">
        <v>6847</v>
      </c>
      <c r="E175" s="64"/>
      <c r="F175" s="77"/>
    </row>
    <row r="176" spans="2:6">
      <c r="B176" s="265" t="s">
        <v>628</v>
      </c>
      <c r="C176" s="82"/>
      <c r="D176" s="64">
        <v>595.5</v>
      </c>
      <c r="E176" s="64"/>
      <c r="F176" s="77"/>
    </row>
    <row r="177" spans="2:31">
      <c r="B177" s="265" t="s">
        <v>629</v>
      </c>
      <c r="C177" s="82"/>
      <c r="D177" s="64">
        <v>4000</v>
      </c>
      <c r="E177" s="64"/>
      <c r="F177" s="77"/>
    </row>
    <row r="178" spans="2:31" ht="13.5" thickBot="1">
      <c r="B178" s="199" t="s">
        <v>197</v>
      </c>
      <c r="C178" s="200"/>
      <c r="D178" s="175">
        <f>SUM(D174:D177)</f>
        <v>8825.5</v>
      </c>
      <c r="F178" s="77"/>
    </row>
    <row r="179" spans="2:31" ht="13.5" thickTop="1">
      <c r="B179" s="34"/>
      <c r="C179" s="34"/>
      <c r="D179" s="77"/>
      <c r="F179" s="77"/>
    </row>
    <row r="180" spans="2:31">
      <c r="D180" s="77"/>
      <c r="F180" s="77"/>
    </row>
    <row r="181" spans="2:31">
      <c r="B181" s="177" t="s">
        <v>380</v>
      </c>
      <c r="D181" s="77"/>
    </row>
    <row r="182" spans="2:31">
      <c r="B182" s="265" t="s">
        <v>630</v>
      </c>
      <c r="D182" s="77"/>
    </row>
    <row r="183" spans="2:31" ht="13.5" thickBot="1">
      <c r="B183" s="268" t="s">
        <v>631</v>
      </c>
      <c r="C183" s="269"/>
      <c r="D183" s="98">
        <v>9754</v>
      </c>
    </row>
    <row r="184" spans="2:31" ht="13.5" thickTop="1">
      <c r="B184" s="265"/>
      <c r="D184" s="77"/>
    </row>
    <row r="185" spans="2:31">
      <c r="B185" s="177" t="s">
        <v>428</v>
      </c>
      <c r="D185" s="77"/>
    </row>
    <row r="186" spans="2:31">
      <c r="B186" s="34" t="s">
        <v>166</v>
      </c>
      <c r="D186" s="77" t="s">
        <v>415</v>
      </c>
    </row>
    <row r="187" spans="2:31">
      <c r="B187" s="265" t="s">
        <v>632</v>
      </c>
      <c r="D187" s="77">
        <v>20</v>
      </c>
    </row>
    <row r="188" spans="2:31">
      <c r="B188" s="265" t="s">
        <v>633</v>
      </c>
      <c r="D188" s="77">
        <v>-50</v>
      </c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</row>
    <row r="189" spans="2:31" ht="13.5" thickBot="1">
      <c r="B189" s="199" t="s">
        <v>197</v>
      </c>
      <c r="C189" s="200"/>
      <c r="D189" s="175">
        <f>SUM(D187:D188)</f>
        <v>-30</v>
      </c>
      <c r="F189" s="34"/>
      <c r="G189" s="82"/>
      <c r="H189" s="82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</row>
    <row r="190" spans="2:31" ht="13.5" thickTop="1">
      <c r="D190" s="77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</row>
    <row r="191" spans="2:31">
      <c r="D191" s="77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</row>
    <row r="192" spans="2:31">
      <c r="B192" s="177" t="s">
        <v>430</v>
      </c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</row>
    <row r="193" spans="2:4">
      <c r="B193" s="34" t="s">
        <v>573</v>
      </c>
    </row>
    <row r="194" spans="2:4">
      <c r="B194" s="79" t="s">
        <v>574</v>
      </c>
      <c r="D194" s="77">
        <v>950000</v>
      </c>
    </row>
    <row r="195" spans="2:4">
      <c r="B195" s="79" t="s">
        <v>575</v>
      </c>
    </row>
    <row r="196" spans="2:4">
      <c r="B196" s="79" t="s">
        <v>576</v>
      </c>
    </row>
    <row r="197" spans="2:4">
      <c r="B197" s="79" t="s">
        <v>577</v>
      </c>
    </row>
    <row r="199" spans="2:4">
      <c r="B199" s="79" t="s">
        <v>586</v>
      </c>
      <c r="D199" s="77">
        <v>112480</v>
      </c>
    </row>
    <row r="200" spans="2:4" s="254" customFormat="1">
      <c r="B200" s="79" t="s">
        <v>587</v>
      </c>
    </row>
    <row r="201" spans="2:4">
      <c r="B201" s="79" t="s">
        <v>578</v>
      </c>
    </row>
    <row r="203" spans="2:4">
      <c r="B203" s="79" t="s">
        <v>585</v>
      </c>
      <c r="D203" s="77">
        <v>5000</v>
      </c>
    </row>
    <row r="204" spans="2:4">
      <c r="B204" s="79" t="s">
        <v>579</v>
      </c>
    </row>
    <row r="205" spans="2:4">
      <c r="B205" s="79" t="s">
        <v>580</v>
      </c>
    </row>
    <row r="206" spans="2:4" ht="13.5" thickBot="1">
      <c r="B206" s="199" t="s">
        <v>197</v>
      </c>
      <c r="C206" s="255"/>
      <c r="D206" s="175">
        <v>1067480</v>
      </c>
    </row>
    <row r="207" spans="2:4" ht="13.5" thickTop="1">
      <c r="B207" s="256"/>
      <c r="D207" s="77"/>
    </row>
    <row r="209" spans="2:4">
      <c r="B209" s="177" t="s">
        <v>486</v>
      </c>
    </row>
    <row r="210" spans="2:4">
      <c r="B210" s="34" t="s">
        <v>581</v>
      </c>
    </row>
    <row r="211" spans="2:4">
      <c r="B211" s="79" t="s">
        <v>582</v>
      </c>
      <c r="D211" s="77">
        <v>1067480</v>
      </c>
    </row>
    <row r="212" spans="2:4">
      <c r="B212" s="79" t="s">
        <v>583</v>
      </c>
      <c r="D212" s="77">
        <f>D117</f>
        <v>707382.61</v>
      </c>
    </row>
    <row r="213" spans="2:4">
      <c r="B213" s="79" t="s">
        <v>584</v>
      </c>
      <c r="D213" s="77">
        <f>D118</f>
        <v>253856.29199999999</v>
      </c>
    </row>
    <row r="214" spans="2:4" ht="13.5" thickBot="1">
      <c r="B214" s="199" t="s">
        <v>197</v>
      </c>
      <c r="C214" s="200"/>
      <c r="D214" s="175">
        <f>+D211+D212+D213</f>
        <v>2028718.9019999998</v>
      </c>
    </row>
    <row r="215" spans="2:4" ht="13.5" thickTop="1"/>
    <row r="217" spans="2:4">
      <c r="B217" s="177" t="s">
        <v>501</v>
      </c>
    </row>
    <row r="218" spans="2:4">
      <c r="B218" s="34" t="s">
        <v>69</v>
      </c>
    </row>
    <row r="219" spans="2:4">
      <c r="B219" s="37" t="s">
        <v>635</v>
      </c>
      <c r="C219" s="37"/>
      <c r="D219" s="37">
        <v>5000</v>
      </c>
    </row>
    <row r="220" spans="2:4">
      <c r="B220" s="271" t="s">
        <v>638</v>
      </c>
      <c r="C220" s="37"/>
      <c r="D220" s="37">
        <v>235</v>
      </c>
    </row>
    <row r="221" spans="2:4" ht="13.5" thickBot="1">
      <c r="B221" s="270" t="s">
        <v>197</v>
      </c>
      <c r="C221" s="266"/>
      <c r="D221" s="266">
        <f>D219+D220</f>
        <v>5235</v>
      </c>
    </row>
    <row r="222" spans="2:4" ht="13.5" thickTop="1"/>
    <row r="224" spans="2:4">
      <c r="B224" s="177" t="s">
        <v>502</v>
      </c>
    </row>
    <row r="225" spans="2:2">
      <c r="B225" t="s">
        <v>639</v>
      </c>
    </row>
    <row r="226" spans="2:2">
      <c r="B226" t="s">
        <v>640</v>
      </c>
    </row>
    <row r="227" spans="2:2">
      <c r="B227" t="s">
        <v>641</v>
      </c>
    </row>
    <row r="230" spans="2:2">
      <c r="B230" s="177" t="s">
        <v>506</v>
      </c>
    </row>
    <row r="231" spans="2:2">
      <c r="B231" t="s">
        <v>647</v>
      </c>
    </row>
    <row r="232" spans="2:2">
      <c r="B232" t="s">
        <v>642</v>
      </c>
    </row>
    <row r="233" spans="2:2">
      <c r="B233" t="s">
        <v>643</v>
      </c>
    </row>
    <row r="236" spans="2:2">
      <c r="B236" s="177" t="s">
        <v>644</v>
      </c>
    </row>
    <row r="237" spans="2:2">
      <c r="B237" t="s">
        <v>645</v>
      </c>
    </row>
    <row r="238" spans="2:2">
      <c r="B238" t="s">
        <v>646</v>
      </c>
    </row>
    <row r="239" spans="2:2">
      <c r="B239" t="s">
        <v>648</v>
      </c>
    </row>
    <row r="250" spans="2:4">
      <c r="B250" s="177"/>
      <c r="D250" s="77"/>
    </row>
    <row r="298" spans="2:4">
      <c r="D298" s="77"/>
    </row>
    <row r="299" spans="2:4">
      <c r="B299" s="177"/>
      <c r="D299" s="77"/>
    </row>
    <row r="300" spans="2:4">
      <c r="B300" s="34"/>
      <c r="D300" s="77"/>
    </row>
    <row r="301" spans="2:4">
      <c r="D301" s="77"/>
    </row>
    <row r="302" spans="2:4">
      <c r="D302" s="77"/>
    </row>
    <row r="303" spans="2:4">
      <c r="B303" s="254"/>
      <c r="D303" s="77"/>
    </row>
    <row r="306" spans="2:4">
      <c r="B306" s="177"/>
      <c r="D306" s="77"/>
    </row>
    <row r="307" spans="2:4">
      <c r="B307" s="34"/>
      <c r="D307" s="77"/>
    </row>
    <row r="308" spans="2:4">
      <c r="B308" s="79"/>
      <c r="C308" s="34"/>
      <c r="D308" s="77"/>
    </row>
    <row r="309" spans="2:4">
      <c r="B309" s="79"/>
      <c r="D309" s="77"/>
    </row>
    <row r="310" spans="2:4">
      <c r="B310" s="79"/>
      <c r="C310" s="34"/>
      <c r="D310" s="77"/>
    </row>
    <row r="311" spans="2:4" ht="13.5" thickBot="1">
      <c r="B311" s="34"/>
      <c r="C311" s="82"/>
      <c r="D311" s="175"/>
    </row>
    <row r="312" spans="2:4" ht="13.5" thickTop="1">
      <c r="B312" s="79"/>
      <c r="D312" s="77"/>
    </row>
    <row r="313" spans="2:4">
      <c r="D313" s="77"/>
    </row>
    <row r="314" spans="2:4">
      <c r="B314" s="177"/>
      <c r="D314" s="77"/>
    </row>
    <row r="315" spans="2:4">
      <c r="B315" s="38"/>
      <c r="D315" s="77"/>
    </row>
    <row r="316" spans="2:4">
      <c r="B316" s="79"/>
      <c r="D316" s="77"/>
    </row>
    <row r="317" spans="2:4" ht="13.5" thickBot="1">
      <c r="B317" s="199"/>
      <c r="C317" s="200"/>
      <c r="D317" s="175"/>
    </row>
    <row r="318" spans="2:4" ht="13.5" thickTop="1">
      <c r="D318" s="77"/>
    </row>
    <row r="319" spans="2:4">
      <c r="B319" s="177"/>
      <c r="D319" s="77"/>
    </row>
    <row r="320" spans="2:4">
      <c r="B320" s="34"/>
      <c r="D320" s="77"/>
    </row>
    <row r="321" spans="2:4">
      <c r="B321" s="79"/>
      <c r="D321" s="77"/>
    </row>
    <row r="322" spans="2:4" ht="13.5" thickBot="1">
      <c r="B322" s="199"/>
      <c r="C322" s="200"/>
      <c r="D322" s="175"/>
    </row>
    <row r="323" spans="2:4" ht="13.5" thickTop="1">
      <c r="D323" s="77"/>
    </row>
  </sheetData>
  <mergeCells count="67">
    <mergeCell ref="BN6:BO6"/>
    <mergeCell ref="BP6:BQ6"/>
    <mergeCell ref="AZ6:BA6"/>
    <mergeCell ref="BB6:BC6"/>
    <mergeCell ref="BD6:BE6"/>
    <mergeCell ref="BF6:BG6"/>
    <mergeCell ref="BH6:BI6"/>
    <mergeCell ref="BJ6:BK6"/>
    <mergeCell ref="AP6:AQ6"/>
    <mergeCell ref="AR6:AS6"/>
    <mergeCell ref="AT6:AU6"/>
    <mergeCell ref="AV6:AW6"/>
    <mergeCell ref="BL6:BM6"/>
    <mergeCell ref="P6:Q6"/>
    <mergeCell ref="R6:S6"/>
    <mergeCell ref="T6:U6"/>
    <mergeCell ref="V6:W6"/>
    <mergeCell ref="X6:Y6"/>
    <mergeCell ref="Z6:AA6"/>
    <mergeCell ref="BJ5:BK5"/>
    <mergeCell ref="BL5:BM5"/>
    <mergeCell ref="BN5:BO5"/>
    <mergeCell ref="BP5:BQ5"/>
    <mergeCell ref="BF5:BG5"/>
    <mergeCell ref="BH5:BI5"/>
    <mergeCell ref="AJ5:AK5"/>
    <mergeCell ref="AX6:AY6"/>
    <mergeCell ref="AB6:AC6"/>
    <mergeCell ref="AD6:AE6"/>
    <mergeCell ref="AF6:AG6"/>
    <mergeCell ref="AH6:AI6"/>
    <mergeCell ref="AJ6:AK6"/>
    <mergeCell ref="AL6:AM6"/>
    <mergeCell ref="AN6:AO6"/>
    <mergeCell ref="D6:E6"/>
    <mergeCell ref="F6:G6"/>
    <mergeCell ref="H6:I6"/>
    <mergeCell ref="J6:K6"/>
    <mergeCell ref="L6:M6"/>
    <mergeCell ref="N6:O6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X5:Y5"/>
    <mergeCell ref="A1:C1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8740157499999996" right="0.78740157499999996" top="1" bottom="1" header="0.5" footer="0.5"/>
  <legacy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33"/>
  <sheetViews>
    <sheetView workbookViewId="0">
      <pane xSplit="3" ySplit="7" topLeftCell="AA46" activePane="bottomRight" state="frozen"/>
      <selection pane="topRight" activeCell="D1" sqref="D1"/>
      <selection pane="bottomLeft" activeCell="A6" sqref="A6"/>
      <selection pane="bottomRight" activeCell="I44" sqref="I43:AJ44"/>
    </sheetView>
  </sheetViews>
  <sheetFormatPr baseColWidth="10" defaultColWidth="11.42578125" defaultRowHeight="12.75"/>
  <cols>
    <col min="1" max="1" width="10.140625" bestFit="1" customWidth="1"/>
    <col min="2" max="2" width="33.42578125" customWidth="1"/>
    <col min="3" max="3" width="7.85546875" customWidth="1"/>
    <col min="4" max="5" width="12.7109375" customWidth="1"/>
    <col min="6" max="6" width="16.7109375" bestFit="1" customWidth="1"/>
    <col min="7" max="8" width="12.7109375" customWidth="1"/>
    <col min="9" max="9" width="16.140625" bestFit="1" customWidth="1"/>
    <col min="10" max="71" width="12.7109375" customWidth="1"/>
  </cols>
  <sheetData>
    <row r="1" spans="1:256" s="37" customFormat="1" ht="21" thickBot="1">
      <c r="A1" s="572" t="s">
        <v>509</v>
      </c>
      <c r="B1" s="573"/>
      <c r="C1" s="574"/>
    </row>
    <row r="2" spans="1:256" s="37" customFormat="1">
      <c r="A2" s="240" t="s">
        <v>510</v>
      </c>
      <c r="B2" s="209"/>
      <c r="C2" s="209"/>
    </row>
    <row r="3" spans="1:256" s="37" customFormat="1">
      <c r="A3" s="241" t="s">
        <v>153</v>
      </c>
      <c r="B3" s="210"/>
      <c r="C3" s="210"/>
    </row>
    <row r="4" spans="1:256" s="37" customFormat="1" ht="13.5" thickBot="1">
      <c r="A4" s="242" t="s">
        <v>159</v>
      </c>
      <c r="B4" s="210"/>
      <c r="C4" s="210"/>
    </row>
    <row r="5" spans="1:256" s="208" customFormat="1">
      <c r="A5" s="228" t="s">
        <v>20</v>
      </c>
      <c r="B5" s="229" t="s">
        <v>0</v>
      </c>
      <c r="C5" s="230" t="s">
        <v>1</v>
      </c>
      <c r="D5" s="564" t="s">
        <v>330</v>
      </c>
      <c r="E5" s="564"/>
      <c r="F5" s="564" t="s">
        <v>3</v>
      </c>
      <c r="G5" s="564"/>
      <c r="H5" s="566" t="s">
        <v>328</v>
      </c>
      <c r="I5" s="566"/>
      <c r="J5" s="566" t="s">
        <v>333</v>
      </c>
      <c r="K5" s="566"/>
      <c r="L5" s="566" t="s">
        <v>477</v>
      </c>
      <c r="M5" s="566"/>
      <c r="N5" s="566" t="s">
        <v>163</v>
      </c>
      <c r="O5" s="566"/>
      <c r="P5" s="566" t="s">
        <v>94</v>
      </c>
      <c r="Q5" s="566"/>
      <c r="R5" s="566" t="s">
        <v>95</v>
      </c>
      <c r="S5" s="566"/>
      <c r="T5" s="566" t="s">
        <v>336</v>
      </c>
      <c r="U5" s="566"/>
      <c r="V5" s="567">
        <v>39585</v>
      </c>
      <c r="W5" s="566"/>
      <c r="X5" s="566" t="s">
        <v>338</v>
      </c>
      <c r="Y5" s="566"/>
      <c r="Z5" s="566" t="s">
        <v>468</v>
      </c>
      <c r="AA5" s="566"/>
      <c r="AB5" s="566" t="s">
        <v>458</v>
      </c>
      <c r="AC5" s="566"/>
      <c r="AD5" s="566" t="s">
        <v>386</v>
      </c>
      <c r="AE5" s="566"/>
      <c r="AF5" s="568" t="s">
        <v>6</v>
      </c>
      <c r="AG5" s="568"/>
      <c r="AH5" s="564" t="s">
        <v>7</v>
      </c>
      <c r="AI5" s="564"/>
      <c r="AJ5" s="568" t="s">
        <v>331</v>
      </c>
      <c r="AK5" s="568"/>
      <c r="AL5" s="568" t="s">
        <v>332</v>
      </c>
      <c r="AM5" s="568"/>
      <c r="AN5" s="568" t="s">
        <v>355</v>
      </c>
      <c r="AO5" s="568"/>
      <c r="AP5" s="564" t="s">
        <v>9</v>
      </c>
      <c r="AQ5" s="564"/>
      <c r="AR5" s="564" t="s">
        <v>468</v>
      </c>
      <c r="AS5" s="564"/>
      <c r="AT5" s="564" t="s">
        <v>520</v>
      </c>
      <c r="AU5" s="564"/>
      <c r="AV5" s="564" t="s">
        <v>518</v>
      </c>
      <c r="AW5" s="564"/>
      <c r="AX5" s="564" t="s">
        <v>516</v>
      </c>
      <c r="AY5" s="564"/>
      <c r="AZ5" s="564" t="s">
        <v>514</v>
      </c>
      <c r="BA5" s="564"/>
      <c r="BB5" s="564" t="s">
        <v>512</v>
      </c>
      <c r="BC5" s="564"/>
      <c r="BD5" s="564" t="s">
        <v>513</v>
      </c>
      <c r="BE5" s="564"/>
      <c r="BF5" s="564" t="s">
        <v>281</v>
      </c>
      <c r="BG5" s="564"/>
      <c r="BH5" s="564" t="s">
        <v>282</v>
      </c>
      <c r="BI5" s="564"/>
      <c r="BJ5" s="564" t="s">
        <v>282</v>
      </c>
      <c r="BK5" s="564"/>
      <c r="BL5" s="564" t="s">
        <v>423</v>
      </c>
      <c r="BM5" s="564"/>
      <c r="BN5" s="564" t="s">
        <v>30</v>
      </c>
      <c r="BO5" s="564"/>
      <c r="BP5" s="564" t="s">
        <v>32</v>
      </c>
      <c r="BQ5" s="564"/>
    </row>
    <row r="6" spans="1:256" s="208" customFormat="1">
      <c r="A6" s="231"/>
      <c r="B6" s="252"/>
      <c r="C6" s="227" t="s">
        <v>16</v>
      </c>
      <c r="D6" s="559"/>
      <c r="E6" s="559"/>
      <c r="F6" s="559" t="s">
        <v>249</v>
      </c>
      <c r="G6" s="559"/>
      <c r="H6" s="563" t="s">
        <v>329</v>
      </c>
      <c r="I6" s="563"/>
      <c r="J6" s="563" t="s">
        <v>334</v>
      </c>
      <c r="K6" s="563"/>
      <c r="L6" s="563"/>
      <c r="M6" s="563"/>
      <c r="N6" s="563"/>
      <c r="O6" s="563"/>
      <c r="P6" s="563" t="s">
        <v>335</v>
      </c>
      <c r="Q6" s="563"/>
      <c r="R6" s="563"/>
      <c r="S6" s="563"/>
      <c r="T6" s="563" t="s">
        <v>337</v>
      </c>
      <c r="U6" s="563"/>
      <c r="V6" s="563"/>
      <c r="W6" s="563"/>
      <c r="X6" s="563"/>
      <c r="Y6" s="563"/>
      <c r="Z6" s="563" t="s">
        <v>469</v>
      </c>
      <c r="AA6" s="563"/>
      <c r="AB6" s="563" t="s">
        <v>459</v>
      </c>
      <c r="AC6" s="563"/>
      <c r="AD6" s="563" t="s">
        <v>459</v>
      </c>
      <c r="AE6" s="563"/>
      <c r="AF6" s="562"/>
      <c r="AG6" s="562"/>
      <c r="AH6" s="559" t="s">
        <v>522</v>
      </c>
      <c r="AI6" s="559"/>
      <c r="AJ6" s="562" t="s">
        <v>326</v>
      </c>
      <c r="AK6" s="562"/>
      <c r="AL6" s="562" t="s">
        <v>327</v>
      </c>
      <c r="AM6" s="562"/>
      <c r="AN6" s="562"/>
      <c r="AO6" s="562"/>
      <c r="AP6" s="559" t="s">
        <v>521</v>
      </c>
      <c r="AQ6" s="559"/>
      <c r="AR6" s="559" t="s">
        <v>470</v>
      </c>
      <c r="AS6" s="559"/>
      <c r="AT6" s="559" t="s">
        <v>519</v>
      </c>
      <c r="AU6" s="559"/>
      <c r="AV6" s="559" t="s">
        <v>519</v>
      </c>
      <c r="AW6" s="559"/>
      <c r="AX6" s="559" t="s">
        <v>517</v>
      </c>
      <c r="AY6" s="559"/>
      <c r="AZ6" s="559" t="s">
        <v>515</v>
      </c>
      <c r="BA6" s="559"/>
      <c r="BB6" s="559" t="s">
        <v>511</v>
      </c>
      <c r="BC6" s="559"/>
      <c r="BD6" s="559"/>
      <c r="BE6" s="559"/>
      <c r="BF6" s="559"/>
      <c r="BG6" s="559"/>
      <c r="BH6" s="559" t="s">
        <v>284</v>
      </c>
      <c r="BI6" s="559"/>
      <c r="BJ6" s="559" t="s">
        <v>283</v>
      </c>
      <c r="BK6" s="559"/>
      <c r="BL6" s="559" t="s">
        <v>424</v>
      </c>
      <c r="BM6" s="559"/>
      <c r="BN6" s="559"/>
      <c r="BO6" s="559"/>
      <c r="BP6" s="559"/>
      <c r="BQ6" s="559"/>
    </row>
    <row r="7" spans="1:256" s="226" customFormat="1">
      <c r="A7" s="232"/>
      <c r="B7" s="222"/>
      <c r="C7" s="223"/>
      <c r="D7" s="224" t="s">
        <v>28</v>
      </c>
      <c r="E7" s="225" t="s">
        <v>29</v>
      </c>
      <c r="F7" s="224" t="s">
        <v>28</v>
      </c>
      <c r="G7" s="225" t="s">
        <v>29</v>
      </c>
      <c r="H7" s="224" t="s">
        <v>28</v>
      </c>
      <c r="I7" s="225" t="s">
        <v>29</v>
      </c>
      <c r="J7" s="224" t="s">
        <v>28</v>
      </c>
      <c r="K7" s="225" t="s">
        <v>29</v>
      </c>
      <c r="L7" s="224" t="s">
        <v>28</v>
      </c>
      <c r="M7" s="225" t="s">
        <v>29</v>
      </c>
      <c r="N7" s="224" t="s">
        <v>28</v>
      </c>
      <c r="O7" s="225" t="s">
        <v>29</v>
      </c>
      <c r="P7" s="224" t="s">
        <v>28</v>
      </c>
      <c r="Q7" s="225" t="s">
        <v>29</v>
      </c>
      <c r="R7" s="224" t="s">
        <v>28</v>
      </c>
      <c r="S7" s="225" t="s">
        <v>29</v>
      </c>
      <c r="T7" s="224" t="s">
        <v>28</v>
      </c>
      <c r="U7" s="225" t="s">
        <v>29</v>
      </c>
      <c r="V7" s="224" t="s">
        <v>28</v>
      </c>
      <c r="W7" s="225" t="s">
        <v>29</v>
      </c>
      <c r="X7" s="224" t="s">
        <v>28</v>
      </c>
      <c r="Y7" s="225" t="s">
        <v>29</v>
      </c>
      <c r="Z7" s="224" t="s">
        <v>28</v>
      </c>
      <c r="AA7" s="225" t="s">
        <v>29</v>
      </c>
      <c r="AB7" s="224" t="s">
        <v>28</v>
      </c>
      <c r="AC7" s="225" t="s">
        <v>29</v>
      </c>
      <c r="AD7" s="224" t="s">
        <v>28</v>
      </c>
      <c r="AE7" s="225" t="s">
        <v>29</v>
      </c>
      <c r="AF7" s="224" t="s">
        <v>28</v>
      </c>
      <c r="AG7" s="225" t="s">
        <v>29</v>
      </c>
      <c r="AH7" s="224" t="s">
        <v>28</v>
      </c>
      <c r="AI7" s="225" t="s">
        <v>29</v>
      </c>
      <c r="AJ7" s="224" t="s">
        <v>28</v>
      </c>
      <c r="AK7" s="225" t="s">
        <v>29</v>
      </c>
      <c r="AL7" s="224" t="s">
        <v>28</v>
      </c>
      <c r="AM7" s="225" t="s">
        <v>29</v>
      </c>
      <c r="AN7" s="224" t="s">
        <v>28</v>
      </c>
      <c r="AO7" s="225" t="s">
        <v>29</v>
      </c>
      <c r="AP7" s="224" t="s">
        <v>28</v>
      </c>
      <c r="AQ7" s="225" t="s">
        <v>29</v>
      </c>
      <c r="AR7" s="224" t="s">
        <v>28</v>
      </c>
      <c r="AS7" s="225" t="s">
        <v>29</v>
      </c>
      <c r="AT7" s="224" t="s">
        <v>28</v>
      </c>
      <c r="AU7" s="225" t="s">
        <v>29</v>
      </c>
      <c r="AV7" s="224" t="s">
        <v>28</v>
      </c>
      <c r="AW7" s="225" t="s">
        <v>29</v>
      </c>
      <c r="AX7" s="224" t="s">
        <v>28</v>
      </c>
      <c r="AY7" s="225" t="s">
        <v>29</v>
      </c>
      <c r="AZ7" s="224" t="s">
        <v>28</v>
      </c>
      <c r="BA7" s="225" t="s">
        <v>29</v>
      </c>
      <c r="BB7" s="224" t="s">
        <v>28</v>
      </c>
      <c r="BC7" s="225" t="s">
        <v>29</v>
      </c>
      <c r="BD7" s="224" t="s">
        <v>28</v>
      </c>
      <c r="BE7" s="225" t="s">
        <v>29</v>
      </c>
      <c r="BF7" s="224" t="s">
        <v>28</v>
      </c>
      <c r="BG7" s="225" t="s">
        <v>29</v>
      </c>
      <c r="BH7" s="224" t="s">
        <v>28</v>
      </c>
      <c r="BI7" s="225" t="s">
        <v>29</v>
      </c>
      <c r="BJ7" s="224" t="s">
        <v>28</v>
      </c>
      <c r="BK7" s="225" t="s">
        <v>29</v>
      </c>
      <c r="BL7" s="224" t="s">
        <v>28</v>
      </c>
      <c r="BM7" s="225" t="s">
        <v>29</v>
      </c>
      <c r="BN7" s="224" t="s">
        <v>28</v>
      </c>
      <c r="BO7" s="225" t="s">
        <v>29</v>
      </c>
      <c r="BP7" s="224" t="s">
        <v>28</v>
      </c>
      <c r="BQ7" s="225" t="s">
        <v>29</v>
      </c>
    </row>
    <row r="8" spans="1:256" s="34" customFormat="1">
      <c r="A8" s="247">
        <v>40179</v>
      </c>
      <c r="B8" s="248" t="s">
        <v>508</v>
      </c>
      <c r="C8" s="249"/>
      <c r="D8" s="250">
        <v>100</v>
      </c>
      <c r="E8" s="251"/>
      <c r="F8" s="250">
        <v>585.02000000001863</v>
      </c>
      <c r="G8" s="251"/>
      <c r="H8" s="250"/>
      <c r="I8" s="251"/>
      <c r="J8" s="250"/>
      <c r="K8" s="251"/>
      <c r="L8" s="250"/>
      <c r="M8" s="251"/>
      <c r="N8" s="250"/>
      <c r="O8" s="251"/>
      <c r="P8" s="250"/>
      <c r="Q8" s="251"/>
      <c r="R8" s="250"/>
      <c r="S8" s="251"/>
      <c r="T8" s="250"/>
      <c r="U8" s="251"/>
      <c r="V8" s="250"/>
      <c r="W8" s="251"/>
      <c r="X8" s="250"/>
      <c r="Y8" s="251"/>
      <c r="Z8" s="250"/>
      <c r="AA8" s="251"/>
      <c r="AB8" s="250"/>
      <c r="AC8" s="251"/>
      <c r="AD8" s="250"/>
      <c r="AE8" s="251"/>
      <c r="AF8" s="250"/>
      <c r="AG8" s="251"/>
      <c r="AH8" s="250">
        <v>952288.94</v>
      </c>
      <c r="AI8" s="251"/>
      <c r="AJ8" s="250"/>
      <c r="AK8" s="251"/>
      <c r="AL8" s="250"/>
      <c r="AM8" s="251"/>
      <c r="AN8" s="250"/>
      <c r="AO8" s="251"/>
      <c r="AP8" s="250">
        <v>0</v>
      </c>
      <c r="AQ8" s="251"/>
      <c r="AR8" s="250">
        <v>0</v>
      </c>
      <c r="AS8" s="251"/>
      <c r="AT8" s="250">
        <v>950000</v>
      </c>
      <c r="AU8" s="251"/>
      <c r="AV8" s="250">
        <v>112480</v>
      </c>
      <c r="AW8" s="251"/>
      <c r="AX8" s="250">
        <v>5000</v>
      </c>
      <c r="AY8" s="251"/>
      <c r="AZ8" s="250"/>
      <c r="BA8" s="251">
        <v>1067480</v>
      </c>
      <c r="BB8" s="250"/>
      <c r="BC8" s="251">
        <v>705024.66800000006</v>
      </c>
      <c r="BD8" s="250"/>
      <c r="BE8" s="251">
        <v>255494.29199999999</v>
      </c>
      <c r="BF8" s="250">
        <v>8541</v>
      </c>
      <c r="BG8" s="251"/>
      <c r="BH8" s="250">
        <v>0</v>
      </c>
      <c r="BI8" s="251"/>
      <c r="BJ8" s="250">
        <v>0</v>
      </c>
      <c r="BK8" s="251"/>
      <c r="BL8" s="250"/>
      <c r="BM8" s="251">
        <v>0</v>
      </c>
      <c r="BN8" s="250"/>
      <c r="BO8" s="251">
        <v>1086</v>
      </c>
      <c r="BP8" s="250">
        <v>90</v>
      </c>
      <c r="BQ8" s="251"/>
      <c r="BR8" s="243">
        <f t="shared" ref="BR8:BR77" si="0">D8-E8+F8-G8+H8-I8+J8-K8+L8-M8+N8-O8+P8-Q8+R8-S8+T8-U8+V8-W8+X8-Y8+Z8-AA8+AB8-AC8+AD8-AE8+AF8-AG8+AH8-AI8+AJ8-AK8+AL8-AM8+AN8-AO8+AP8-AQ8+AR8-AS8+AT8-AU8+AV8-AW8+AX8-AY8+AZ8-BA8+BB8-BC8+BD8-BE8+BF8-BG8+BH8-BI8+BJ8-BK8+BL8-BM8+BN8-BO8+BP8-BQ8</f>
        <v>-8.7311491370201111E-11</v>
      </c>
      <c r="BS8" s="244"/>
      <c r="BT8" s="244"/>
    </row>
    <row r="9" spans="1:256" s="79" customFormat="1">
      <c r="A9" s="233"/>
      <c r="B9" s="188"/>
      <c r="C9" s="186"/>
      <c r="D9" s="212"/>
      <c r="E9" s="213"/>
      <c r="F9" s="212"/>
      <c r="G9" s="213"/>
      <c r="H9" s="212"/>
      <c r="I9" s="213"/>
      <c r="J9" s="212"/>
      <c r="K9" s="213"/>
      <c r="L9" s="212"/>
      <c r="M9" s="213"/>
      <c r="N9" s="212"/>
      <c r="O9" s="213"/>
      <c r="P9" s="212"/>
      <c r="Q9" s="213"/>
      <c r="R9" s="212"/>
      <c r="S9" s="213"/>
      <c r="T9" s="212"/>
      <c r="U9" s="213"/>
      <c r="V9" s="212"/>
      <c r="W9" s="213"/>
      <c r="X9" s="212"/>
      <c r="Y9" s="213"/>
      <c r="Z9" s="212"/>
      <c r="AA9" s="213"/>
      <c r="AB9" s="212"/>
      <c r="AC9" s="213"/>
      <c r="AD9" s="212"/>
      <c r="AE9" s="213"/>
      <c r="AF9" s="212"/>
      <c r="AG9" s="213"/>
      <c r="AH9" s="212"/>
      <c r="AI9" s="213"/>
      <c r="AJ9" s="212"/>
      <c r="AK9" s="213"/>
      <c r="AL9" s="212"/>
      <c r="AM9" s="213"/>
      <c r="AN9" s="212"/>
      <c r="AO9" s="213"/>
      <c r="AP9" s="212"/>
      <c r="AQ9" s="213"/>
      <c r="AR9" s="212"/>
      <c r="AS9" s="213"/>
      <c r="AT9" s="212"/>
      <c r="AU9" s="213"/>
      <c r="AV9" s="212"/>
      <c r="AW9" s="213"/>
      <c r="AX9" s="212"/>
      <c r="AY9" s="213"/>
      <c r="AZ9" s="212"/>
      <c r="BA9" s="213"/>
      <c r="BB9" s="212"/>
      <c r="BC9" s="213"/>
      <c r="BD9" s="212"/>
      <c r="BE9" s="213"/>
      <c r="BF9" s="212"/>
      <c r="BG9" s="213"/>
      <c r="BH9" s="212"/>
      <c r="BI9" s="213"/>
      <c r="BJ9" s="212"/>
      <c r="BK9" s="213"/>
      <c r="BL9" s="212"/>
      <c r="BM9" s="213"/>
      <c r="BN9" s="212"/>
      <c r="BO9" s="213"/>
      <c r="BP9" s="212"/>
      <c r="BQ9" s="213"/>
      <c r="BR9" s="193">
        <f t="shared" si="0"/>
        <v>0</v>
      </c>
      <c r="BS9" s="194"/>
      <c r="BT9" s="194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79" customFormat="1">
      <c r="A10" s="233">
        <v>40219</v>
      </c>
      <c r="B10" s="188" t="s">
        <v>532</v>
      </c>
      <c r="C10" s="186">
        <v>1</v>
      </c>
      <c r="D10" s="212"/>
      <c r="E10" s="213"/>
      <c r="F10" s="212">
        <v>7090</v>
      </c>
      <c r="G10" s="213"/>
      <c r="H10" s="212"/>
      <c r="I10" s="213"/>
      <c r="J10" s="212"/>
      <c r="K10" s="213"/>
      <c r="L10" s="212"/>
      <c r="M10" s="213"/>
      <c r="N10" s="212"/>
      <c r="O10" s="213"/>
      <c r="P10" s="212"/>
      <c r="Q10" s="213"/>
      <c r="R10" s="212"/>
      <c r="S10" s="213"/>
      <c r="T10" s="212"/>
      <c r="U10" s="213"/>
      <c r="V10" s="212"/>
      <c r="W10" s="213"/>
      <c r="X10" s="212"/>
      <c r="Y10" s="213"/>
      <c r="Z10" s="212"/>
      <c r="AA10" s="213"/>
      <c r="AB10" s="212"/>
      <c r="AC10" s="213"/>
      <c r="AD10" s="212"/>
      <c r="AE10" s="213"/>
      <c r="AF10" s="212"/>
      <c r="AG10" s="213"/>
      <c r="AH10" s="212"/>
      <c r="AI10" s="213"/>
      <c r="AJ10" s="212"/>
      <c r="AK10" s="213"/>
      <c r="AL10" s="212"/>
      <c r="AM10" s="213"/>
      <c r="AN10" s="212"/>
      <c r="AO10" s="213"/>
      <c r="AP10" s="212"/>
      <c r="AQ10" s="213"/>
      <c r="AR10" s="212"/>
      <c r="AS10" s="213"/>
      <c r="AT10" s="212"/>
      <c r="AU10" s="213"/>
      <c r="AV10" s="212"/>
      <c r="AW10" s="213"/>
      <c r="AX10" s="212"/>
      <c r="AY10" s="213"/>
      <c r="AZ10" s="212"/>
      <c r="BA10" s="213"/>
      <c r="BB10" s="212"/>
      <c r="BC10" s="213"/>
      <c r="BD10" s="212"/>
      <c r="BE10" s="213"/>
      <c r="BF10" s="212"/>
      <c r="BG10" s="213">
        <v>7090</v>
      </c>
      <c r="BH10" s="212"/>
      <c r="BI10" s="213"/>
      <c r="BJ10" s="212"/>
      <c r="BK10" s="213"/>
      <c r="BL10" s="212"/>
      <c r="BM10" s="213"/>
      <c r="BN10" s="212"/>
      <c r="BO10" s="213"/>
      <c r="BP10" s="212"/>
      <c r="BQ10" s="213"/>
      <c r="BR10" s="193">
        <f t="shared" si="0"/>
        <v>0</v>
      </c>
      <c r="BS10" s="194"/>
      <c r="BT10" s="194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79" customFormat="1">
      <c r="A11" s="234">
        <v>40226</v>
      </c>
      <c r="B11" s="188" t="s">
        <v>546</v>
      </c>
      <c r="C11" s="211">
        <v>2</v>
      </c>
      <c r="D11" s="214"/>
      <c r="E11" s="215"/>
      <c r="F11" s="214">
        <v>90</v>
      </c>
      <c r="G11" s="215"/>
      <c r="H11" s="214"/>
      <c r="I11" s="215"/>
      <c r="J11" s="214"/>
      <c r="K11" s="215"/>
      <c r="L11" s="214"/>
      <c r="M11" s="215"/>
      <c r="N11" s="214"/>
      <c r="O11" s="215"/>
      <c r="P11" s="214"/>
      <c r="Q11" s="215"/>
      <c r="R11" s="214"/>
      <c r="S11" s="215"/>
      <c r="T11" s="214"/>
      <c r="U11" s="215"/>
      <c r="V11" s="214"/>
      <c r="W11" s="215"/>
      <c r="X11" s="214"/>
      <c r="Y11" s="215"/>
      <c r="Z11" s="214"/>
      <c r="AA11" s="215"/>
      <c r="AB11" s="214"/>
      <c r="AC11" s="215"/>
      <c r="AD11" s="214"/>
      <c r="AE11" s="215"/>
      <c r="AF11" s="214"/>
      <c r="AG11" s="215"/>
      <c r="AH11" s="214"/>
      <c r="AI11" s="215"/>
      <c r="AJ11" s="214"/>
      <c r="AK11" s="215"/>
      <c r="AL11" s="214"/>
      <c r="AM11" s="215"/>
      <c r="AN11" s="214"/>
      <c r="AO11" s="215"/>
      <c r="AP11" s="214"/>
      <c r="AQ11" s="215"/>
      <c r="AR11" s="214"/>
      <c r="AS11" s="215"/>
      <c r="AT11" s="214"/>
      <c r="AU11" s="215"/>
      <c r="AV11" s="214"/>
      <c r="AW11" s="215"/>
      <c r="AX11" s="214"/>
      <c r="AY11" s="215"/>
      <c r="AZ11" s="214"/>
      <c r="BA11" s="215"/>
      <c r="BB11" s="214"/>
      <c r="BC11" s="215"/>
      <c r="BD11" s="214"/>
      <c r="BE11" s="215"/>
      <c r="BF11" s="214"/>
      <c r="BG11" s="215"/>
      <c r="BH11" s="214"/>
      <c r="BI11" s="215"/>
      <c r="BJ11" s="214"/>
      <c r="BK11" s="215"/>
      <c r="BL11" s="214"/>
      <c r="BM11" s="215"/>
      <c r="BN11" s="214"/>
      <c r="BO11" s="215"/>
      <c r="BP11" s="214"/>
      <c r="BQ11" s="215">
        <v>90</v>
      </c>
      <c r="BR11" s="193">
        <f t="shared" si="0"/>
        <v>0</v>
      </c>
      <c r="BS11" s="194"/>
      <c r="BT11" s="194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79" customFormat="1">
      <c r="A12" s="233">
        <v>40247</v>
      </c>
      <c r="B12" s="188" t="s">
        <v>527</v>
      </c>
      <c r="C12" s="186">
        <v>3</v>
      </c>
      <c r="D12" s="212"/>
      <c r="E12" s="213"/>
      <c r="F12" s="212"/>
      <c r="G12" s="213">
        <v>6100</v>
      </c>
      <c r="H12" s="212"/>
      <c r="I12" s="213"/>
      <c r="J12" s="212"/>
      <c r="K12" s="213"/>
      <c r="L12" s="212">
        <v>6100</v>
      </c>
      <c r="M12" s="21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  <c r="Z12" s="212"/>
      <c r="AA12" s="213"/>
      <c r="AB12" s="212"/>
      <c r="AC12" s="213"/>
      <c r="AD12" s="212"/>
      <c r="AE12" s="213"/>
      <c r="AF12" s="212"/>
      <c r="AG12" s="213"/>
      <c r="AH12" s="212"/>
      <c r="AI12" s="213"/>
      <c r="AJ12" s="212"/>
      <c r="AK12" s="213"/>
      <c r="AL12" s="212"/>
      <c r="AM12" s="213"/>
      <c r="AN12" s="212"/>
      <c r="AO12" s="213"/>
      <c r="AP12" s="212"/>
      <c r="AQ12" s="213"/>
      <c r="AR12" s="212"/>
      <c r="AS12" s="213"/>
      <c r="AT12" s="212"/>
      <c r="AU12" s="213"/>
      <c r="AV12" s="212"/>
      <c r="AW12" s="213"/>
      <c r="AX12" s="212"/>
      <c r="AY12" s="213"/>
      <c r="AZ12" s="212"/>
      <c r="BA12" s="213"/>
      <c r="BB12" s="212"/>
      <c r="BC12" s="213"/>
      <c r="BD12" s="212"/>
      <c r="BE12" s="213"/>
      <c r="BF12" s="212"/>
      <c r="BG12" s="213"/>
      <c r="BH12" s="212"/>
      <c r="BI12" s="213"/>
      <c r="BJ12" s="212"/>
      <c r="BK12" s="213"/>
      <c r="BL12" s="212"/>
      <c r="BM12" s="213"/>
      <c r="BN12" s="212"/>
      <c r="BO12" s="213"/>
      <c r="BP12" s="212"/>
      <c r="BQ12" s="213"/>
      <c r="BR12" s="193">
        <f t="shared" si="0"/>
        <v>0</v>
      </c>
      <c r="BS12" s="194"/>
      <c r="BT12" s="194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79" customFormat="1">
      <c r="A13" s="233">
        <v>40186</v>
      </c>
      <c r="B13" s="188" t="s">
        <v>528</v>
      </c>
      <c r="C13" s="253">
        <v>4</v>
      </c>
      <c r="D13" s="212"/>
      <c r="E13" s="213"/>
      <c r="F13" s="212"/>
      <c r="G13" s="213"/>
      <c r="H13" s="212"/>
      <c r="I13" s="213"/>
      <c r="J13" s="212"/>
      <c r="K13" s="213"/>
      <c r="L13" s="212"/>
      <c r="M13" s="213">
        <v>2390</v>
      </c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  <c r="Z13" s="212"/>
      <c r="AA13" s="213"/>
      <c r="AB13" s="212"/>
      <c r="AC13" s="213"/>
      <c r="AD13" s="212"/>
      <c r="AE13" s="213"/>
      <c r="AF13" s="212"/>
      <c r="AG13" s="213"/>
      <c r="AH13" s="212"/>
      <c r="AI13" s="213"/>
      <c r="AJ13" s="212"/>
      <c r="AK13" s="213"/>
      <c r="AL13" s="212"/>
      <c r="AM13" s="213"/>
      <c r="AN13" s="212"/>
      <c r="AO13" s="213"/>
      <c r="AP13" s="212"/>
      <c r="AQ13" s="213"/>
      <c r="AR13" s="212"/>
      <c r="AS13" s="213"/>
      <c r="AT13" s="212"/>
      <c r="AU13" s="213"/>
      <c r="AV13" s="212"/>
      <c r="AW13" s="213"/>
      <c r="AX13" s="212"/>
      <c r="AY13" s="213"/>
      <c r="AZ13" s="212"/>
      <c r="BA13" s="213"/>
      <c r="BB13" s="212"/>
      <c r="BC13" s="213"/>
      <c r="BD13" s="212"/>
      <c r="BE13" s="213"/>
      <c r="BF13" s="212"/>
      <c r="BG13" s="213"/>
      <c r="BH13" s="212"/>
      <c r="BI13" s="213"/>
      <c r="BJ13" s="212"/>
      <c r="BK13" s="213"/>
      <c r="BL13" s="212"/>
      <c r="BM13" s="213"/>
      <c r="BN13" s="212"/>
      <c r="BO13" s="213"/>
      <c r="BP13" s="212"/>
      <c r="BQ13" s="213"/>
      <c r="BR13" s="193">
        <f t="shared" si="0"/>
        <v>-2390</v>
      </c>
      <c r="BS13" s="194"/>
      <c r="BT13" s="194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185" customFormat="1">
      <c r="A14" s="233">
        <v>40186</v>
      </c>
      <c r="B14" s="185" t="s">
        <v>530</v>
      </c>
      <c r="C14" s="186">
        <v>4</v>
      </c>
      <c r="D14" s="212"/>
      <c r="E14" s="213"/>
      <c r="F14" s="212"/>
      <c r="G14" s="213"/>
      <c r="H14" s="212"/>
      <c r="I14" s="213"/>
      <c r="J14" s="212"/>
      <c r="K14" s="213"/>
      <c r="L14" s="212">
        <v>1502</v>
      </c>
      <c r="M14" s="213"/>
      <c r="N14" s="212"/>
      <c r="O14" s="213"/>
      <c r="P14" s="212"/>
      <c r="Q14" s="213"/>
      <c r="R14" s="212"/>
      <c r="S14" s="213"/>
      <c r="T14" s="212"/>
      <c r="U14" s="213"/>
      <c r="V14" s="212"/>
      <c r="W14" s="213"/>
      <c r="X14" s="212"/>
      <c r="Y14" s="213"/>
      <c r="Z14" s="212"/>
      <c r="AA14" s="213"/>
      <c r="AB14" s="212"/>
      <c r="AC14" s="213"/>
      <c r="AD14" s="212"/>
      <c r="AE14" s="213"/>
      <c r="AF14" s="212"/>
      <c r="AG14" s="213"/>
      <c r="AH14" s="212"/>
      <c r="AI14" s="213"/>
      <c r="AJ14" s="212"/>
      <c r="AK14" s="213"/>
      <c r="AL14" s="212"/>
      <c r="AM14" s="213"/>
      <c r="AN14" s="212"/>
      <c r="AO14" s="213"/>
      <c r="AP14" s="212"/>
      <c r="AQ14" s="213"/>
      <c r="AR14" s="212"/>
      <c r="AS14" s="213"/>
      <c r="AT14" s="212"/>
      <c r="AU14" s="213"/>
      <c r="AV14" s="212"/>
      <c r="AW14" s="213"/>
      <c r="AX14" s="212"/>
      <c r="AY14" s="213"/>
      <c r="AZ14" s="212"/>
      <c r="BA14" s="213"/>
      <c r="BB14" s="212"/>
      <c r="BC14" s="213"/>
      <c r="BD14" s="212"/>
      <c r="BE14" s="213"/>
      <c r="BF14" s="212"/>
      <c r="BG14" s="213"/>
      <c r="BH14" s="212"/>
      <c r="BI14" s="213"/>
      <c r="BJ14" s="212"/>
      <c r="BK14" s="213"/>
      <c r="BL14" s="212"/>
      <c r="BM14" s="213"/>
      <c r="BN14" s="212"/>
      <c r="BO14" s="213"/>
      <c r="BP14" s="212"/>
      <c r="BQ14" s="213"/>
      <c r="BR14" s="193">
        <f t="shared" si="0"/>
        <v>1502</v>
      </c>
      <c r="BS14" s="194"/>
      <c r="BT14" s="194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79" customFormat="1">
      <c r="A15" s="233">
        <v>40245</v>
      </c>
      <c r="B15" s="188" t="s">
        <v>529</v>
      </c>
      <c r="C15" s="186">
        <v>4</v>
      </c>
      <c r="D15" s="212"/>
      <c r="E15" s="213"/>
      <c r="F15" s="212">
        <v>888</v>
      </c>
      <c r="G15" s="213"/>
      <c r="H15" s="212"/>
      <c r="I15" s="213"/>
      <c r="J15" s="212"/>
      <c r="K15" s="213"/>
      <c r="L15" s="212"/>
      <c r="M15" s="213"/>
      <c r="N15" s="212"/>
      <c r="O15" s="213"/>
      <c r="P15" s="212"/>
      <c r="Q15" s="213"/>
      <c r="R15" s="212"/>
      <c r="S15" s="213"/>
      <c r="T15" s="212"/>
      <c r="U15" s="213"/>
      <c r="V15" s="212"/>
      <c r="W15" s="213"/>
      <c r="X15" s="212"/>
      <c r="Y15" s="213"/>
      <c r="Z15" s="212"/>
      <c r="AA15" s="213"/>
      <c r="AB15" s="212"/>
      <c r="AC15" s="213"/>
      <c r="AD15" s="212"/>
      <c r="AE15" s="213"/>
      <c r="AF15" s="212"/>
      <c r="AG15" s="213"/>
      <c r="AH15" s="212"/>
      <c r="AI15" s="213"/>
      <c r="AJ15" s="212"/>
      <c r="AK15" s="213"/>
      <c r="AL15" s="212"/>
      <c r="AM15" s="213"/>
      <c r="AN15" s="212"/>
      <c r="AO15" s="213"/>
      <c r="AP15" s="212"/>
      <c r="AQ15" s="213"/>
      <c r="AR15" s="212"/>
      <c r="AS15" s="213"/>
      <c r="AT15" s="212"/>
      <c r="AU15" s="213"/>
      <c r="AV15" s="212"/>
      <c r="AW15" s="213"/>
      <c r="AX15" s="212"/>
      <c r="AY15" s="213"/>
      <c r="AZ15" s="212"/>
      <c r="BA15" s="213"/>
      <c r="BB15" s="212"/>
      <c r="BC15" s="213"/>
      <c r="BD15" s="212"/>
      <c r="BE15" s="213"/>
      <c r="BF15" s="212"/>
      <c r="BG15" s="213"/>
      <c r="BH15" s="212"/>
      <c r="BI15" s="213"/>
      <c r="BJ15" s="212"/>
      <c r="BK15" s="213"/>
      <c r="BL15" s="212"/>
      <c r="BM15" s="213"/>
      <c r="BN15" s="212"/>
      <c r="BO15" s="213"/>
      <c r="BP15" s="212"/>
      <c r="BQ15" s="213"/>
      <c r="BR15" s="193">
        <f t="shared" si="0"/>
        <v>888</v>
      </c>
      <c r="BS15" s="194"/>
      <c r="BT15" s="194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79" customFormat="1">
      <c r="A16" s="233">
        <v>40245</v>
      </c>
      <c r="B16" s="188" t="s">
        <v>531</v>
      </c>
      <c r="C16" s="186">
        <v>5</v>
      </c>
      <c r="D16" s="212"/>
      <c r="E16" s="213"/>
      <c r="F16" s="212">
        <v>1451</v>
      </c>
      <c r="G16" s="213"/>
      <c r="H16" s="212"/>
      <c r="I16" s="213"/>
      <c r="J16" s="212"/>
      <c r="K16" s="213"/>
      <c r="L16" s="212"/>
      <c r="M16" s="213"/>
      <c r="N16" s="212"/>
      <c r="O16" s="213"/>
      <c r="P16" s="212"/>
      <c r="Q16" s="213"/>
      <c r="R16" s="212"/>
      <c r="S16" s="213"/>
      <c r="T16" s="212"/>
      <c r="U16" s="213"/>
      <c r="V16" s="212"/>
      <c r="W16" s="213"/>
      <c r="X16" s="212"/>
      <c r="Y16" s="213"/>
      <c r="Z16" s="212"/>
      <c r="AA16" s="213"/>
      <c r="AB16" s="212"/>
      <c r="AC16" s="213"/>
      <c r="AD16" s="212"/>
      <c r="AE16" s="213"/>
      <c r="AF16" s="212"/>
      <c r="AG16" s="213"/>
      <c r="AH16" s="212"/>
      <c r="AI16" s="213"/>
      <c r="AJ16" s="212"/>
      <c r="AK16" s="213"/>
      <c r="AL16" s="212"/>
      <c r="AM16" s="213"/>
      <c r="AN16" s="212"/>
      <c r="AO16" s="213"/>
      <c r="AP16" s="212"/>
      <c r="AQ16" s="213"/>
      <c r="AR16" s="212"/>
      <c r="AS16" s="213"/>
      <c r="AT16" s="212"/>
      <c r="AU16" s="213"/>
      <c r="AV16" s="212"/>
      <c r="AW16" s="213"/>
      <c r="AX16" s="212"/>
      <c r="AY16" s="213"/>
      <c r="AZ16" s="212"/>
      <c r="BA16" s="213"/>
      <c r="BB16" s="212"/>
      <c r="BC16" s="213"/>
      <c r="BD16" s="212"/>
      <c r="BE16" s="213"/>
      <c r="BF16" s="212"/>
      <c r="BG16" s="213">
        <v>1451</v>
      </c>
      <c r="BH16" s="212"/>
      <c r="BI16" s="213"/>
      <c r="BJ16" s="212"/>
      <c r="BK16" s="213"/>
      <c r="BL16" s="212"/>
      <c r="BM16" s="213"/>
      <c r="BN16" s="212"/>
      <c r="BO16" s="213"/>
      <c r="BP16" s="212"/>
      <c r="BQ16" s="213"/>
      <c r="BR16" s="193">
        <f t="shared" si="0"/>
        <v>0</v>
      </c>
      <c r="BS16" s="194"/>
      <c r="BT16" s="194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185" customFormat="1">
      <c r="A17" s="233">
        <v>40255</v>
      </c>
      <c r="B17" s="185" t="s">
        <v>535</v>
      </c>
      <c r="C17" s="186">
        <v>6</v>
      </c>
      <c r="D17" s="212"/>
      <c r="E17" s="213"/>
      <c r="F17" s="212"/>
      <c r="G17" s="213">
        <v>235</v>
      </c>
      <c r="H17" s="212"/>
      <c r="I17" s="213"/>
      <c r="J17" s="212"/>
      <c r="K17" s="213"/>
      <c r="L17" s="212"/>
      <c r="M17" s="213"/>
      <c r="N17" s="212"/>
      <c r="O17" s="213"/>
      <c r="P17" s="212"/>
      <c r="Q17" s="213"/>
      <c r="R17" s="212"/>
      <c r="S17" s="213"/>
      <c r="T17" s="212"/>
      <c r="U17" s="213"/>
      <c r="V17" s="212"/>
      <c r="W17" s="213"/>
      <c r="X17" s="212">
        <v>235</v>
      </c>
      <c r="Y17" s="213"/>
      <c r="Z17" s="212"/>
      <c r="AA17" s="213"/>
      <c r="AB17" s="212"/>
      <c r="AC17" s="213"/>
      <c r="AD17" s="212"/>
      <c r="AE17" s="213"/>
      <c r="AF17" s="212"/>
      <c r="AG17" s="213"/>
      <c r="AH17" s="212"/>
      <c r="AI17" s="213"/>
      <c r="AJ17" s="212"/>
      <c r="AK17" s="213"/>
      <c r="AL17" s="212"/>
      <c r="AM17" s="213"/>
      <c r="AN17" s="212"/>
      <c r="AO17" s="213"/>
      <c r="AP17" s="212"/>
      <c r="AQ17" s="213"/>
      <c r="AR17" s="212"/>
      <c r="AS17" s="213"/>
      <c r="AT17" s="212"/>
      <c r="AU17" s="213"/>
      <c r="AV17" s="212"/>
      <c r="AW17" s="213"/>
      <c r="AX17" s="212"/>
      <c r="AY17" s="213"/>
      <c r="AZ17" s="212"/>
      <c r="BA17" s="213"/>
      <c r="BB17" s="212"/>
      <c r="BC17" s="213"/>
      <c r="BD17" s="212"/>
      <c r="BE17" s="213"/>
      <c r="BF17" s="212"/>
      <c r="BG17" s="213"/>
      <c r="BH17" s="212"/>
      <c r="BI17" s="213"/>
      <c r="BJ17" s="212"/>
      <c r="BK17" s="213"/>
      <c r="BL17" s="212"/>
      <c r="BM17" s="213"/>
      <c r="BN17" s="212"/>
      <c r="BO17" s="213"/>
      <c r="BP17" s="212"/>
      <c r="BQ17" s="213"/>
      <c r="BR17" s="193">
        <f t="shared" si="0"/>
        <v>0</v>
      </c>
      <c r="BS17" s="194"/>
      <c r="BT17" s="194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79" customFormat="1">
      <c r="A18" s="233">
        <v>40255</v>
      </c>
      <c r="B18" s="188" t="s">
        <v>534</v>
      </c>
      <c r="C18" s="211">
        <v>7</v>
      </c>
      <c r="D18" s="214"/>
      <c r="E18" s="215"/>
      <c r="F18" s="214"/>
      <c r="G18" s="215">
        <v>1086</v>
      </c>
      <c r="H18" s="214"/>
      <c r="I18" s="215"/>
      <c r="J18" s="214"/>
      <c r="K18" s="215"/>
      <c r="L18" s="214"/>
      <c r="M18" s="215"/>
      <c r="N18" s="214"/>
      <c r="O18" s="215"/>
      <c r="P18" s="214"/>
      <c r="Q18" s="215"/>
      <c r="R18" s="214"/>
      <c r="S18" s="215"/>
      <c r="T18" s="214"/>
      <c r="U18" s="215"/>
      <c r="V18" s="214"/>
      <c r="W18" s="215"/>
      <c r="X18" s="214"/>
      <c r="Y18" s="215"/>
      <c r="Z18" s="214"/>
      <c r="AA18" s="215"/>
      <c r="AB18" s="214"/>
      <c r="AC18" s="215"/>
      <c r="AD18" s="214"/>
      <c r="AE18" s="215"/>
      <c r="AF18" s="214"/>
      <c r="AG18" s="215"/>
      <c r="AH18" s="214"/>
      <c r="AI18" s="215"/>
      <c r="AJ18" s="214"/>
      <c r="AK18" s="215"/>
      <c r="AL18" s="214"/>
      <c r="AM18" s="215"/>
      <c r="AN18" s="214"/>
      <c r="AO18" s="215"/>
      <c r="AP18" s="214"/>
      <c r="AQ18" s="215"/>
      <c r="AR18" s="214"/>
      <c r="AS18" s="215"/>
      <c r="AT18" s="214"/>
      <c r="AU18" s="215"/>
      <c r="AV18" s="214"/>
      <c r="AW18" s="215"/>
      <c r="AX18" s="214"/>
      <c r="AY18" s="215"/>
      <c r="AZ18" s="214"/>
      <c r="BA18" s="215"/>
      <c r="BB18" s="214"/>
      <c r="BC18" s="215"/>
      <c r="BD18" s="214"/>
      <c r="BE18" s="215"/>
      <c r="BF18" s="214"/>
      <c r="BG18" s="215"/>
      <c r="BH18" s="214"/>
      <c r="BI18" s="215"/>
      <c r="BJ18" s="214"/>
      <c r="BK18" s="215"/>
      <c r="BL18" s="214"/>
      <c r="BM18" s="215"/>
      <c r="BN18" s="214">
        <v>1086</v>
      </c>
      <c r="BO18" s="215"/>
      <c r="BP18" s="214"/>
      <c r="BQ18" s="215"/>
      <c r="BR18" s="193">
        <f t="shared" si="0"/>
        <v>0</v>
      </c>
      <c r="BS18" s="194"/>
      <c r="BT18" s="194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79" customFormat="1">
      <c r="A19" s="234">
        <v>40268</v>
      </c>
      <c r="B19" s="188" t="s">
        <v>533</v>
      </c>
      <c r="C19" s="211">
        <v>8</v>
      </c>
      <c r="D19" s="214"/>
      <c r="E19" s="215"/>
      <c r="F19" s="214"/>
      <c r="G19" s="215">
        <v>6</v>
      </c>
      <c r="H19" s="214"/>
      <c r="I19" s="215"/>
      <c r="J19" s="214"/>
      <c r="K19" s="215"/>
      <c r="L19" s="214"/>
      <c r="M19" s="215"/>
      <c r="N19" s="214"/>
      <c r="O19" s="215"/>
      <c r="P19" s="214"/>
      <c r="Q19" s="215"/>
      <c r="R19" s="214"/>
      <c r="S19" s="215"/>
      <c r="T19" s="214">
        <v>6</v>
      </c>
      <c r="U19" s="215"/>
      <c r="V19" s="214"/>
      <c r="W19" s="215"/>
      <c r="X19" s="214"/>
      <c r="Y19" s="215"/>
      <c r="Z19" s="214"/>
      <c r="AA19" s="215"/>
      <c r="AB19" s="214"/>
      <c r="AC19" s="215"/>
      <c r="AD19" s="214"/>
      <c r="AE19" s="215"/>
      <c r="AF19" s="214"/>
      <c r="AG19" s="215"/>
      <c r="AH19" s="214"/>
      <c r="AI19" s="215"/>
      <c r="AJ19" s="214"/>
      <c r="AK19" s="215"/>
      <c r="AL19" s="214"/>
      <c r="AM19" s="215"/>
      <c r="AN19" s="214"/>
      <c r="AO19" s="215"/>
      <c r="AP19" s="214"/>
      <c r="AQ19" s="215"/>
      <c r="AR19" s="214"/>
      <c r="AS19" s="215"/>
      <c r="AT19" s="214"/>
      <c r="AU19" s="215"/>
      <c r="AV19" s="214"/>
      <c r="AW19" s="215"/>
      <c r="AX19" s="214"/>
      <c r="AY19" s="215"/>
      <c r="AZ19" s="214"/>
      <c r="BA19" s="215"/>
      <c r="BB19" s="214"/>
      <c r="BC19" s="215"/>
      <c r="BD19" s="214"/>
      <c r="BE19" s="215"/>
      <c r="BF19" s="214"/>
      <c r="BG19" s="215"/>
      <c r="BH19" s="214"/>
      <c r="BI19" s="215"/>
      <c r="BJ19" s="214"/>
      <c r="BK19" s="215"/>
      <c r="BL19" s="214"/>
      <c r="BM19" s="215"/>
      <c r="BN19" s="214"/>
      <c r="BO19" s="215"/>
      <c r="BP19" s="214"/>
      <c r="BQ19" s="215"/>
      <c r="BR19" s="193">
        <f t="shared" si="0"/>
        <v>0</v>
      </c>
      <c r="BS19" s="70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79" customFormat="1">
      <c r="A20" s="234">
        <v>40273</v>
      </c>
      <c r="B20" s="188" t="s">
        <v>447</v>
      </c>
      <c r="C20" s="253">
        <v>9</v>
      </c>
      <c r="D20" s="214"/>
      <c r="E20" s="215"/>
      <c r="F20" s="214"/>
      <c r="G20" s="215">
        <v>1158</v>
      </c>
      <c r="H20" s="214"/>
      <c r="I20" s="215"/>
      <c r="J20" s="214"/>
      <c r="K20" s="215"/>
      <c r="L20" s="214"/>
      <c r="M20" s="215"/>
      <c r="N20" s="214"/>
      <c r="O20" s="215"/>
      <c r="P20" s="214"/>
      <c r="Q20" s="215"/>
      <c r="R20" s="214">
        <v>1158</v>
      </c>
      <c r="S20" s="215"/>
      <c r="T20" s="214"/>
      <c r="U20" s="215"/>
      <c r="V20" s="214"/>
      <c r="W20" s="215"/>
      <c r="X20" s="214"/>
      <c r="Y20" s="215"/>
      <c r="Z20" s="214"/>
      <c r="AA20" s="215"/>
      <c r="AB20" s="214"/>
      <c r="AC20" s="215"/>
      <c r="AD20" s="214"/>
      <c r="AE20" s="215"/>
      <c r="AF20" s="214"/>
      <c r="AG20" s="215"/>
      <c r="AH20" s="214"/>
      <c r="AI20" s="215"/>
      <c r="AJ20" s="214"/>
      <c r="AK20" s="215"/>
      <c r="AL20" s="214"/>
      <c r="AM20" s="215"/>
      <c r="AN20" s="214"/>
      <c r="AO20" s="215"/>
      <c r="AP20" s="214"/>
      <c r="AQ20" s="215"/>
      <c r="AR20" s="214"/>
      <c r="AS20" s="215"/>
      <c r="AT20" s="214"/>
      <c r="AU20" s="215"/>
      <c r="AV20" s="214"/>
      <c r="AW20" s="215"/>
      <c r="AX20" s="214"/>
      <c r="AY20" s="215"/>
      <c r="AZ20" s="214"/>
      <c r="BA20" s="215"/>
      <c r="BB20" s="214"/>
      <c r="BC20" s="215"/>
      <c r="BD20" s="214"/>
      <c r="BE20" s="215"/>
      <c r="BF20" s="214"/>
      <c r="BG20" s="215"/>
      <c r="BH20" s="214"/>
      <c r="BI20" s="215"/>
      <c r="BJ20" s="214"/>
      <c r="BK20" s="215"/>
      <c r="BL20" s="214"/>
      <c r="BM20" s="215"/>
      <c r="BN20" s="214"/>
      <c r="BO20" s="215"/>
      <c r="BP20" s="214"/>
      <c r="BQ20" s="215"/>
      <c r="BR20" s="193">
        <f t="shared" si="0"/>
        <v>0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79" customFormat="1">
      <c r="A21" s="234">
        <v>40281</v>
      </c>
      <c r="B21" s="188" t="s">
        <v>536</v>
      </c>
      <c r="C21" s="211">
        <v>10</v>
      </c>
      <c r="D21" s="214"/>
      <c r="E21" s="215"/>
      <c r="F21" s="214"/>
      <c r="G21" s="215">
        <v>219.5</v>
      </c>
      <c r="H21" s="214"/>
      <c r="I21" s="215"/>
      <c r="J21" s="214"/>
      <c r="K21" s="215"/>
      <c r="L21" s="214"/>
      <c r="M21" s="215"/>
      <c r="N21" s="214"/>
      <c r="O21" s="215"/>
      <c r="P21" s="214"/>
      <c r="Q21" s="215"/>
      <c r="R21" s="214"/>
      <c r="S21" s="215"/>
      <c r="T21" s="214">
        <v>219.5</v>
      </c>
      <c r="U21" s="215"/>
      <c r="V21" s="214"/>
      <c r="W21" s="215"/>
      <c r="X21" s="214"/>
      <c r="Y21" s="215"/>
      <c r="Z21" s="214"/>
      <c r="AA21" s="215"/>
      <c r="AB21" s="214"/>
      <c r="AC21" s="215"/>
      <c r="AD21" s="214"/>
      <c r="AE21" s="215"/>
      <c r="AF21" s="214"/>
      <c r="AG21" s="215"/>
      <c r="AH21" s="214"/>
      <c r="AI21" s="215"/>
      <c r="AJ21" s="214"/>
      <c r="AK21" s="215"/>
      <c r="AL21" s="214"/>
      <c r="AM21" s="215"/>
      <c r="AN21" s="214"/>
      <c r="AO21" s="215"/>
      <c r="AP21" s="214"/>
      <c r="AQ21" s="215"/>
      <c r="AR21" s="214"/>
      <c r="AS21" s="215"/>
      <c r="AT21" s="214"/>
      <c r="AU21" s="215"/>
      <c r="AV21" s="214"/>
      <c r="AW21" s="215"/>
      <c r="AX21" s="214"/>
      <c r="AY21" s="215"/>
      <c r="AZ21" s="214"/>
      <c r="BA21" s="215"/>
      <c r="BB21" s="214"/>
      <c r="BC21" s="215"/>
      <c r="BD21" s="214"/>
      <c r="BE21" s="215"/>
      <c r="BF21" s="214"/>
      <c r="BG21" s="215"/>
      <c r="BH21" s="214"/>
      <c r="BI21" s="215"/>
      <c r="BJ21" s="214"/>
      <c r="BK21" s="215"/>
      <c r="BL21" s="214"/>
      <c r="BM21" s="215"/>
      <c r="BN21" s="214"/>
      <c r="BO21" s="215"/>
      <c r="BP21" s="214"/>
      <c r="BQ21" s="215"/>
      <c r="BR21" s="193">
        <f t="shared" si="0"/>
        <v>0</v>
      </c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79" customFormat="1">
      <c r="A22" s="234">
        <v>40298</v>
      </c>
      <c r="B22" s="188" t="s">
        <v>533</v>
      </c>
      <c r="C22" s="211">
        <v>11</v>
      </c>
      <c r="D22" s="214"/>
      <c r="E22" s="215"/>
      <c r="F22" s="214"/>
      <c r="G22" s="215">
        <v>4</v>
      </c>
      <c r="H22" s="214"/>
      <c r="I22" s="215"/>
      <c r="J22" s="214"/>
      <c r="K22" s="215"/>
      <c r="L22" s="214"/>
      <c r="M22" s="215"/>
      <c r="N22" s="214"/>
      <c r="O22" s="215"/>
      <c r="P22" s="214"/>
      <c r="Q22" s="215"/>
      <c r="R22" s="214"/>
      <c r="S22" s="215"/>
      <c r="T22" s="214">
        <v>4</v>
      </c>
      <c r="U22" s="215"/>
      <c r="V22" s="214"/>
      <c r="W22" s="215"/>
      <c r="X22" s="214"/>
      <c r="Y22" s="215"/>
      <c r="Z22" s="214"/>
      <c r="AA22" s="215"/>
      <c r="AB22" s="214"/>
      <c r="AC22" s="215"/>
      <c r="AD22" s="214"/>
      <c r="AE22" s="215"/>
      <c r="AF22" s="214"/>
      <c r="AG22" s="215"/>
      <c r="AH22" s="214"/>
      <c r="AI22" s="215"/>
      <c r="AJ22" s="214"/>
      <c r="AK22" s="215"/>
      <c r="AL22" s="214"/>
      <c r="AM22" s="215"/>
      <c r="AN22" s="214"/>
      <c r="AO22" s="215"/>
      <c r="AP22" s="214"/>
      <c r="AQ22" s="215"/>
      <c r="AR22" s="214"/>
      <c r="AS22" s="215"/>
      <c r="AT22" s="214"/>
      <c r="AU22" s="215"/>
      <c r="AV22" s="214"/>
      <c r="AW22" s="215"/>
      <c r="AX22" s="214"/>
      <c r="AY22" s="215"/>
      <c r="AZ22" s="214"/>
      <c r="BA22" s="215"/>
      <c r="BB22" s="214"/>
      <c r="BC22" s="215"/>
      <c r="BD22" s="214"/>
      <c r="BE22" s="215"/>
      <c r="BF22" s="214"/>
      <c r="BG22" s="215"/>
      <c r="BH22" s="214"/>
      <c r="BI22" s="215"/>
      <c r="BJ22" s="214"/>
      <c r="BK22" s="215"/>
      <c r="BL22" s="214"/>
      <c r="BM22" s="215"/>
      <c r="BN22" s="214"/>
      <c r="BO22" s="215"/>
      <c r="BP22" s="214"/>
      <c r="BQ22" s="215"/>
      <c r="BR22" s="193">
        <f t="shared" si="0"/>
        <v>0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79" customFormat="1">
      <c r="A23" s="234">
        <v>40336</v>
      </c>
      <c r="B23" s="188" t="s">
        <v>538</v>
      </c>
      <c r="C23" s="211">
        <v>12</v>
      </c>
      <c r="D23" s="214"/>
      <c r="E23" s="215"/>
      <c r="F23" s="214"/>
      <c r="G23" s="215"/>
      <c r="H23" s="214"/>
      <c r="I23" s="215"/>
      <c r="J23" s="214"/>
      <c r="K23" s="215"/>
      <c r="L23" s="214"/>
      <c r="M23" s="215"/>
      <c r="N23" s="214"/>
      <c r="O23" s="215"/>
      <c r="P23" s="214"/>
      <c r="Q23" s="215"/>
      <c r="R23" s="214"/>
      <c r="S23" s="215"/>
      <c r="T23" s="214"/>
      <c r="U23" s="215"/>
      <c r="V23" s="214"/>
      <c r="W23" s="215"/>
      <c r="X23" s="214"/>
      <c r="Y23" s="215"/>
      <c r="Z23" s="214"/>
      <c r="AA23" s="215"/>
      <c r="AB23" s="214"/>
      <c r="AC23" s="215"/>
      <c r="AD23" s="214"/>
      <c r="AE23" s="215"/>
      <c r="AF23" s="214"/>
      <c r="AG23" s="215"/>
      <c r="AH23" s="214"/>
      <c r="AI23" s="215"/>
      <c r="AJ23" s="214"/>
      <c r="AK23" s="215"/>
      <c r="AL23" s="214"/>
      <c r="AM23" s="215"/>
      <c r="AN23" s="214"/>
      <c r="AO23" s="215"/>
      <c r="AP23" s="214"/>
      <c r="AQ23" s="215"/>
      <c r="AR23" s="214"/>
      <c r="AS23" s="215"/>
      <c r="AT23" s="214"/>
      <c r="AU23" s="215"/>
      <c r="AV23" s="214"/>
      <c r="AW23" s="215"/>
      <c r="AX23" s="214"/>
      <c r="AY23" s="215"/>
      <c r="AZ23" s="214"/>
      <c r="BA23" s="215"/>
      <c r="BB23" s="214"/>
      <c r="BC23" s="215"/>
      <c r="BD23" s="214"/>
      <c r="BE23" s="215"/>
      <c r="BF23" s="214"/>
      <c r="BG23" s="215"/>
      <c r="BH23" s="214"/>
      <c r="BI23" s="215"/>
      <c r="BJ23" s="214"/>
      <c r="BK23" s="215"/>
      <c r="BL23" s="214"/>
      <c r="BM23" s="215"/>
      <c r="BN23" s="214"/>
      <c r="BO23" s="215"/>
      <c r="BP23" s="214"/>
      <c r="BQ23" s="215"/>
      <c r="BR23" s="193">
        <f t="shared" si="0"/>
        <v>0</v>
      </c>
    </row>
    <row r="24" spans="1:256" s="79" customFormat="1">
      <c r="A24" s="234">
        <v>40336</v>
      </c>
      <c r="B24" s="188" t="s">
        <v>537</v>
      </c>
      <c r="C24" s="211">
        <v>12</v>
      </c>
      <c r="D24" s="214"/>
      <c r="E24" s="215"/>
      <c r="F24" s="214">
        <v>963144.34</v>
      </c>
      <c r="G24" s="215"/>
      <c r="H24" s="214"/>
      <c r="I24" s="215"/>
      <c r="J24" s="214"/>
      <c r="K24" s="215"/>
      <c r="L24" s="214"/>
      <c r="M24" s="215"/>
      <c r="N24" s="214"/>
      <c r="O24" s="215"/>
      <c r="P24" s="214"/>
      <c r="Q24" s="215"/>
      <c r="R24" s="214"/>
      <c r="S24" s="215"/>
      <c r="T24" s="214"/>
      <c r="U24" s="215"/>
      <c r="V24" s="214"/>
      <c r="W24" s="215"/>
      <c r="X24" s="214"/>
      <c r="Y24" s="215"/>
      <c r="Z24" s="214"/>
      <c r="AA24" s="215"/>
      <c r="AB24" s="214"/>
      <c r="AC24" s="215"/>
      <c r="AD24" s="214"/>
      <c r="AE24" s="215"/>
      <c r="AF24" s="214"/>
      <c r="AG24" s="215"/>
      <c r="AH24" s="214"/>
      <c r="AI24" s="215">
        <v>963144.34</v>
      </c>
      <c r="AJ24" s="214"/>
      <c r="AK24" s="215"/>
      <c r="AL24" s="214"/>
      <c r="AM24" s="215"/>
      <c r="AN24" s="214"/>
      <c r="AO24" s="215"/>
      <c r="AP24" s="214"/>
      <c r="AQ24" s="215"/>
      <c r="AR24" s="214"/>
      <c r="AS24" s="215"/>
      <c r="AT24" s="214"/>
      <c r="AU24" s="215"/>
      <c r="AV24" s="214"/>
      <c r="AW24" s="215"/>
      <c r="AX24" s="214"/>
      <c r="AY24" s="215"/>
      <c r="AZ24" s="214"/>
      <c r="BA24" s="215"/>
      <c r="BB24" s="214"/>
      <c r="BC24" s="215"/>
      <c r="BD24" s="214"/>
      <c r="BE24" s="215"/>
      <c r="BF24" s="214"/>
      <c r="BG24" s="215"/>
      <c r="BH24" s="214"/>
      <c r="BI24" s="215"/>
      <c r="BJ24" s="214"/>
      <c r="BK24" s="215"/>
      <c r="BL24" s="214"/>
      <c r="BM24" s="215"/>
      <c r="BN24" s="214"/>
      <c r="BO24" s="215"/>
      <c r="BP24" s="214"/>
      <c r="BQ24" s="215"/>
      <c r="BR24" s="193">
        <f t="shared" si="0"/>
        <v>0</v>
      </c>
    </row>
    <row r="25" spans="1:256" s="79" customFormat="1">
      <c r="A25" s="234">
        <v>40344</v>
      </c>
      <c r="B25" s="188" t="s">
        <v>452</v>
      </c>
      <c r="C25" s="211">
        <v>13</v>
      </c>
      <c r="D25" s="214"/>
      <c r="E25" s="215"/>
      <c r="F25" s="214"/>
      <c r="G25" s="215">
        <v>2500</v>
      </c>
      <c r="H25" s="214"/>
      <c r="I25" s="215"/>
      <c r="J25" s="214"/>
      <c r="K25" s="215"/>
      <c r="L25" s="214"/>
      <c r="M25" s="215"/>
      <c r="N25" s="214"/>
      <c r="O25" s="215"/>
      <c r="P25" s="214"/>
      <c r="Q25" s="215"/>
      <c r="R25" s="214"/>
      <c r="S25" s="215"/>
      <c r="T25" s="214"/>
      <c r="U25" s="215"/>
      <c r="V25" s="214">
        <v>2500</v>
      </c>
      <c r="W25" s="215"/>
      <c r="X25" s="214"/>
      <c r="Y25" s="215"/>
      <c r="Z25" s="214"/>
      <c r="AA25" s="215"/>
      <c r="AB25" s="214"/>
      <c r="AC25" s="215"/>
      <c r="AD25" s="214"/>
      <c r="AE25" s="215"/>
      <c r="AF25" s="214"/>
      <c r="AG25" s="215"/>
      <c r="AH25" s="214"/>
      <c r="AI25" s="215"/>
      <c r="AJ25" s="214"/>
      <c r="AK25" s="215"/>
      <c r="AL25" s="214"/>
      <c r="AM25" s="215"/>
      <c r="AN25" s="214"/>
      <c r="AO25" s="215"/>
      <c r="AP25" s="214"/>
      <c r="AQ25" s="215"/>
      <c r="AR25" s="214"/>
      <c r="AS25" s="215"/>
      <c r="AT25" s="214"/>
      <c r="AU25" s="215"/>
      <c r="AV25" s="214"/>
      <c r="AW25" s="215"/>
      <c r="AX25" s="214"/>
      <c r="AY25" s="215"/>
      <c r="AZ25" s="214"/>
      <c r="BA25" s="215"/>
      <c r="BB25" s="214"/>
      <c r="BC25" s="215"/>
      <c r="BD25" s="214"/>
      <c r="BE25" s="215"/>
      <c r="BF25" s="214"/>
      <c r="BG25" s="215"/>
      <c r="BH25" s="214"/>
      <c r="BI25" s="215"/>
      <c r="BJ25" s="214"/>
      <c r="BK25" s="215"/>
      <c r="BL25" s="214"/>
      <c r="BM25" s="215"/>
      <c r="BN25" s="214"/>
      <c r="BO25" s="215"/>
      <c r="BP25" s="214"/>
      <c r="BQ25" s="215"/>
      <c r="BR25" s="193">
        <f t="shared" si="0"/>
        <v>0</v>
      </c>
      <c r="BS25" s="194"/>
      <c r="BT25" s="194"/>
    </row>
    <row r="26" spans="1:256" s="79" customFormat="1">
      <c r="A26" s="234">
        <v>40344</v>
      </c>
      <c r="B26" s="188" t="s">
        <v>539</v>
      </c>
      <c r="C26" s="253">
        <v>14</v>
      </c>
      <c r="D26" s="214"/>
      <c r="E26" s="215"/>
      <c r="F26" s="214"/>
      <c r="G26" s="215">
        <v>14726.5</v>
      </c>
      <c r="H26" s="214"/>
      <c r="I26" s="215"/>
      <c r="J26" s="214">
        <v>14726.5</v>
      </c>
      <c r="K26" s="215"/>
      <c r="L26" s="214"/>
      <c r="M26" s="215"/>
      <c r="N26" s="214"/>
      <c r="O26" s="215"/>
      <c r="P26" s="214"/>
      <c r="Q26" s="215"/>
      <c r="R26" s="214"/>
      <c r="S26" s="215"/>
      <c r="T26" s="214"/>
      <c r="U26" s="215"/>
      <c r="V26" s="214"/>
      <c r="W26" s="215"/>
      <c r="X26" s="214"/>
      <c r="Y26" s="215"/>
      <c r="Z26" s="214"/>
      <c r="AA26" s="215"/>
      <c r="AB26" s="214"/>
      <c r="AC26" s="215"/>
      <c r="AD26" s="214"/>
      <c r="AE26" s="215"/>
      <c r="AF26" s="214"/>
      <c r="AG26" s="215"/>
      <c r="AH26" s="214"/>
      <c r="AI26" s="215"/>
      <c r="AJ26" s="214"/>
      <c r="AK26" s="215"/>
      <c r="AL26" s="214"/>
      <c r="AM26" s="215"/>
      <c r="AN26" s="214"/>
      <c r="AO26" s="215"/>
      <c r="AP26" s="214"/>
      <c r="AQ26" s="215"/>
      <c r="AR26" s="214"/>
      <c r="AS26" s="215"/>
      <c r="AT26" s="214"/>
      <c r="AU26" s="215"/>
      <c r="AV26" s="214"/>
      <c r="AW26" s="215"/>
      <c r="AX26" s="214"/>
      <c r="AY26" s="215"/>
      <c r="AZ26" s="214"/>
      <c r="BA26" s="215"/>
      <c r="BB26" s="214"/>
      <c r="BC26" s="215"/>
      <c r="BD26" s="214"/>
      <c r="BE26" s="215"/>
      <c r="BF26" s="214"/>
      <c r="BG26" s="215"/>
      <c r="BH26" s="214"/>
      <c r="BI26" s="215"/>
      <c r="BJ26" s="214"/>
      <c r="BK26" s="215"/>
      <c r="BL26" s="214"/>
      <c r="BM26" s="215"/>
      <c r="BN26" s="214"/>
      <c r="BO26" s="215"/>
      <c r="BP26" s="214"/>
      <c r="BQ26" s="215"/>
      <c r="BR26" s="193">
        <f t="shared" si="0"/>
        <v>0</v>
      </c>
    </row>
    <row r="27" spans="1:256" s="79" customFormat="1">
      <c r="A27" s="234">
        <v>40359</v>
      </c>
      <c r="B27" s="188" t="s">
        <v>533</v>
      </c>
      <c r="C27" s="211">
        <v>15</v>
      </c>
      <c r="D27" s="214"/>
      <c r="E27" s="215"/>
      <c r="F27" s="214"/>
      <c r="G27" s="215">
        <v>4</v>
      </c>
      <c r="H27" s="214"/>
      <c r="I27" s="215"/>
      <c r="J27" s="214"/>
      <c r="K27" s="215"/>
      <c r="L27" s="214"/>
      <c r="M27" s="215"/>
      <c r="N27" s="214"/>
      <c r="O27" s="215"/>
      <c r="P27" s="214"/>
      <c r="Q27" s="215"/>
      <c r="R27" s="214"/>
      <c r="S27" s="215"/>
      <c r="T27" s="214">
        <v>4</v>
      </c>
      <c r="U27" s="215"/>
      <c r="V27" s="214"/>
      <c r="W27" s="215"/>
      <c r="X27" s="214"/>
      <c r="Y27" s="215"/>
      <c r="Z27" s="214"/>
      <c r="AA27" s="215"/>
      <c r="AB27" s="214"/>
      <c r="AC27" s="215"/>
      <c r="AD27" s="214"/>
      <c r="AE27" s="215"/>
      <c r="AF27" s="214"/>
      <c r="AG27" s="215"/>
      <c r="AH27" s="214"/>
      <c r="AI27" s="215"/>
      <c r="AJ27" s="214"/>
      <c r="AK27" s="215"/>
      <c r="AL27" s="214"/>
      <c r="AM27" s="215"/>
      <c r="AN27" s="214"/>
      <c r="AO27" s="215"/>
      <c r="AP27" s="214"/>
      <c r="AQ27" s="215"/>
      <c r="AR27" s="214"/>
      <c r="AS27" s="215"/>
      <c r="AT27" s="214"/>
      <c r="AU27" s="215"/>
      <c r="AV27" s="214"/>
      <c r="AW27" s="215"/>
      <c r="AX27" s="214"/>
      <c r="AY27" s="215"/>
      <c r="AZ27" s="214"/>
      <c r="BA27" s="215"/>
      <c r="BB27" s="214"/>
      <c r="BC27" s="215"/>
      <c r="BD27" s="214"/>
      <c r="BE27" s="215"/>
      <c r="BF27" s="214"/>
      <c r="BG27" s="215"/>
      <c r="BH27" s="214"/>
      <c r="BI27" s="215"/>
      <c r="BJ27" s="214"/>
      <c r="BK27" s="215"/>
      <c r="BL27" s="214"/>
      <c r="BM27" s="215"/>
      <c r="BN27" s="214"/>
      <c r="BO27" s="215"/>
      <c r="BP27" s="214"/>
      <c r="BQ27" s="215"/>
      <c r="BR27" s="193">
        <f t="shared" si="0"/>
        <v>0</v>
      </c>
    </row>
    <row r="28" spans="1:256" s="79" customFormat="1">
      <c r="A28" s="234">
        <v>40359</v>
      </c>
      <c r="B28" s="188" t="s">
        <v>540</v>
      </c>
      <c r="C28" s="253">
        <v>15</v>
      </c>
      <c r="D28" s="214"/>
      <c r="E28" s="215"/>
      <c r="F28" s="214"/>
      <c r="G28" s="215">
        <v>90</v>
      </c>
      <c r="H28" s="214"/>
      <c r="I28" s="215"/>
      <c r="J28" s="214"/>
      <c r="K28" s="215"/>
      <c r="L28" s="214"/>
      <c r="M28" s="215"/>
      <c r="N28" s="214"/>
      <c r="O28" s="215"/>
      <c r="P28" s="214"/>
      <c r="Q28" s="215"/>
      <c r="R28" s="214"/>
      <c r="S28" s="215"/>
      <c r="T28" s="214">
        <v>90</v>
      </c>
      <c r="U28" s="215"/>
      <c r="V28" s="214"/>
      <c r="W28" s="215"/>
      <c r="X28" s="214"/>
      <c r="Y28" s="215"/>
      <c r="Z28" s="214"/>
      <c r="AA28" s="215"/>
      <c r="AB28" s="214"/>
      <c r="AC28" s="215"/>
      <c r="AD28" s="214"/>
      <c r="AE28" s="215"/>
      <c r="AF28" s="214"/>
      <c r="AG28" s="215"/>
      <c r="AH28" s="214"/>
      <c r="AI28" s="215"/>
      <c r="AJ28" s="214"/>
      <c r="AK28" s="215"/>
      <c r="AL28" s="214"/>
      <c r="AM28" s="215"/>
      <c r="AN28" s="214"/>
      <c r="AO28" s="215"/>
      <c r="AP28" s="214"/>
      <c r="AQ28" s="215"/>
      <c r="AR28" s="214"/>
      <c r="AS28" s="215"/>
      <c r="AT28" s="214"/>
      <c r="AU28" s="215"/>
      <c r="AV28" s="214"/>
      <c r="AW28" s="215"/>
      <c r="AX28" s="214"/>
      <c r="AY28" s="215"/>
      <c r="AZ28" s="214"/>
      <c r="BA28" s="215"/>
      <c r="BB28" s="214"/>
      <c r="BC28" s="215"/>
      <c r="BD28" s="214"/>
      <c r="BE28" s="215"/>
      <c r="BF28" s="214"/>
      <c r="BG28" s="215"/>
      <c r="BH28" s="214"/>
      <c r="BI28" s="215"/>
      <c r="BJ28" s="214"/>
      <c r="BK28" s="215"/>
      <c r="BL28" s="214"/>
      <c r="BM28" s="215"/>
      <c r="BN28" s="214"/>
      <c r="BO28" s="215"/>
      <c r="BP28" s="214"/>
      <c r="BQ28" s="215"/>
      <c r="BR28" s="193">
        <f t="shared" si="0"/>
        <v>0</v>
      </c>
    </row>
    <row r="29" spans="1:256" s="79" customFormat="1">
      <c r="A29" s="234">
        <v>40313</v>
      </c>
      <c r="B29" s="188" t="s">
        <v>543</v>
      </c>
      <c r="C29" s="211">
        <v>16</v>
      </c>
      <c r="D29" s="214"/>
      <c r="E29" s="215"/>
      <c r="F29" s="214"/>
      <c r="G29" s="215"/>
      <c r="H29" s="214"/>
      <c r="I29" s="215"/>
      <c r="J29" s="214"/>
      <c r="K29" s="215"/>
      <c r="L29" s="214"/>
      <c r="M29" s="215"/>
      <c r="N29" s="214">
        <v>1493.25</v>
      </c>
      <c r="O29" s="215"/>
      <c r="P29" s="214"/>
      <c r="Q29" s="215"/>
      <c r="R29" s="214"/>
      <c r="S29" s="215"/>
      <c r="T29" s="214"/>
      <c r="U29" s="215"/>
      <c r="V29" s="214"/>
      <c r="W29" s="215"/>
      <c r="X29" s="214"/>
      <c r="Y29" s="215"/>
      <c r="Z29" s="214"/>
      <c r="AA29" s="215"/>
      <c r="AB29" s="214"/>
      <c r="AC29" s="215"/>
      <c r="AD29" s="214"/>
      <c r="AE29" s="215"/>
      <c r="AF29" s="214"/>
      <c r="AG29" s="215"/>
      <c r="AH29" s="214"/>
      <c r="AI29" s="215"/>
      <c r="AJ29" s="214"/>
      <c r="AK29" s="215"/>
      <c r="AL29" s="214"/>
      <c r="AM29" s="215"/>
      <c r="AN29" s="214"/>
      <c r="AO29" s="215"/>
      <c r="AP29" s="214"/>
      <c r="AQ29" s="215"/>
      <c r="AR29" s="214"/>
      <c r="AS29" s="215"/>
      <c r="AT29" s="214"/>
      <c r="AU29" s="215"/>
      <c r="AV29" s="214"/>
      <c r="AW29" s="215"/>
      <c r="AX29" s="214"/>
      <c r="AY29" s="215"/>
      <c r="AZ29" s="214"/>
      <c r="BA29" s="215"/>
      <c r="BB29" s="214"/>
      <c r="BC29" s="215"/>
      <c r="BD29" s="214"/>
      <c r="BE29" s="215"/>
      <c r="BF29" s="214"/>
      <c r="BG29" s="215"/>
      <c r="BH29" s="214"/>
      <c r="BI29" s="215"/>
      <c r="BJ29" s="214"/>
      <c r="BK29" s="215"/>
      <c r="BL29" s="214"/>
      <c r="BM29" s="215"/>
      <c r="BN29" s="214"/>
      <c r="BO29" s="215">
        <v>1493.25</v>
      </c>
      <c r="BP29" s="214"/>
      <c r="BQ29" s="215"/>
      <c r="BR29" s="193">
        <f t="shared" si="0"/>
        <v>0</v>
      </c>
    </row>
    <row r="30" spans="1:256" s="79" customFormat="1">
      <c r="A30" s="234">
        <v>40304</v>
      </c>
      <c r="B30" s="188" t="s">
        <v>544</v>
      </c>
      <c r="C30" s="211">
        <v>17</v>
      </c>
      <c r="D30" s="214"/>
      <c r="E30" s="215"/>
      <c r="F30" s="214"/>
      <c r="G30" s="215"/>
      <c r="H30" s="214"/>
      <c r="I30" s="215"/>
      <c r="J30" s="214"/>
      <c r="K30" s="215"/>
      <c r="L30" s="214"/>
      <c r="M30" s="215"/>
      <c r="N30" s="214">
        <v>75.7</v>
      </c>
      <c r="O30" s="215"/>
      <c r="P30" s="214"/>
      <c r="Q30" s="215"/>
      <c r="R30" s="214"/>
      <c r="S30" s="215"/>
      <c r="T30" s="214"/>
      <c r="U30" s="215"/>
      <c r="V30" s="214"/>
      <c r="W30" s="215"/>
      <c r="X30" s="214"/>
      <c r="Y30" s="215"/>
      <c r="Z30" s="214"/>
      <c r="AA30" s="215"/>
      <c r="AB30" s="214"/>
      <c r="AC30" s="215"/>
      <c r="AD30" s="214"/>
      <c r="AE30" s="215"/>
      <c r="AF30" s="214"/>
      <c r="AG30" s="215"/>
      <c r="AH30" s="214"/>
      <c r="AI30" s="215"/>
      <c r="AJ30" s="214"/>
      <c r="AK30" s="215"/>
      <c r="AL30" s="214"/>
      <c r="AM30" s="215"/>
      <c r="AN30" s="214"/>
      <c r="AO30" s="215"/>
      <c r="AP30" s="214"/>
      <c r="AQ30" s="215"/>
      <c r="AR30" s="214"/>
      <c r="AS30" s="215"/>
      <c r="AT30" s="214"/>
      <c r="AU30" s="215"/>
      <c r="AV30" s="214"/>
      <c r="AW30" s="215"/>
      <c r="AX30" s="214"/>
      <c r="AY30" s="215"/>
      <c r="AZ30" s="214"/>
      <c r="BA30" s="215"/>
      <c r="BB30" s="214"/>
      <c r="BC30" s="215"/>
      <c r="BD30" s="214"/>
      <c r="BE30" s="215"/>
      <c r="BF30" s="214"/>
      <c r="BG30" s="215"/>
      <c r="BH30" s="214"/>
      <c r="BI30" s="215"/>
      <c r="BJ30" s="214"/>
      <c r="BK30" s="215"/>
      <c r="BL30" s="214"/>
      <c r="BM30" s="215"/>
      <c r="BN30" s="214"/>
      <c r="BO30" s="215">
        <v>75.7</v>
      </c>
      <c r="BP30" s="214"/>
      <c r="BQ30" s="215"/>
      <c r="BR30" s="193">
        <f t="shared" si="0"/>
        <v>0</v>
      </c>
    </row>
    <row r="31" spans="1:256" s="79" customFormat="1">
      <c r="A31" s="234">
        <v>40372</v>
      </c>
      <c r="B31" s="188" t="s">
        <v>545</v>
      </c>
      <c r="C31" s="211">
        <v>18</v>
      </c>
      <c r="D31" s="214"/>
      <c r="E31" s="215"/>
      <c r="F31" s="214"/>
      <c r="G31" s="215"/>
      <c r="H31" s="214"/>
      <c r="I31" s="215"/>
      <c r="J31" s="214"/>
      <c r="K31" s="215"/>
      <c r="L31" s="214"/>
      <c r="M31" s="215"/>
      <c r="N31" s="214"/>
      <c r="O31" s="215"/>
      <c r="P31" s="214"/>
      <c r="Q31" s="215"/>
      <c r="R31" s="214"/>
      <c r="S31" s="215"/>
      <c r="T31" s="214">
        <v>1250</v>
      </c>
      <c r="U31" s="215"/>
      <c r="V31" s="214"/>
      <c r="W31" s="215"/>
      <c r="X31" s="214"/>
      <c r="Y31" s="215"/>
      <c r="Z31" s="214"/>
      <c r="AA31" s="215"/>
      <c r="AB31" s="214"/>
      <c r="AC31" s="215"/>
      <c r="AD31" s="214"/>
      <c r="AE31" s="215"/>
      <c r="AF31" s="214"/>
      <c r="AG31" s="215"/>
      <c r="AH31" s="214"/>
      <c r="AI31" s="215"/>
      <c r="AJ31" s="214"/>
      <c r="AK31" s="215"/>
      <c r="AL31" s="214"/>
      <c r="AM31" s="215"/>
      <c r="AN31" s="214"/>
      <c r="AO31" s="215"/>
      <c r="AP31" s="214"/>
      <c r="AQ31" s="215"/>
      <c r="AR31" s="214"/>
      <c r="AS31" s="215"/>
      <c r="AT31" s="214"/>
      <c r="AU31" s="215"/>
      <c r="AV31" s="214"/>
      <c r="AW31" s="215"/>
      <c r="AX31" s="214"/>
      <c r="AY31" s="215"/>
      <c r="AZ31" s="214"/>
      <c r="BA31" s="215"/>
      <c r="BB31" s="214"/>
      <c r="BC31" s="215"/>
      <c r="BD31" s="214"/>
      <c r="BE31" s="215"/>
      <c r="BF31" s="214"/>
      <c r="BG31" s="215"/>
      <c r="BH31" s="214"/>
      <c r="BI31" s="215"/>
      <c r="BJ31" s="214"/>
      <c r="BK31" s="215"/>
      <c r="BL31" s="214"/>
      <c r="BM31" s="215"/>
      <c r="BN31" s="214"/>
      <c r="BO31" s="215">
        <v>1250</v>
      </c>
      <c r="BP31" s="214"/>
      <c r="BQ31" s="215"/>
      <c r="BR31" s="193">
        <f t="shared" si="0"/>
        <v>0</v>
      </c>
    </row>
    <row r="32" spans="1:256" s="79" customFormat="1">
      <c r="A32" s="234">
        <v>40420</v>
      </c>
      <c r="B32" s="188" t="s">
        <v>447</v>
      </c>
      <c r="C32" s="211">
        <v>19</v>
      </c>
      <c r="D32" s="214"/>
      <c r="E32" s="215"/>
      <c r="F32" s="214"/>
      <c r="G32" s="215"/>
      <c r="H32" s="214"/>
      <c r="I32" s="215"/>
      <c r="J32" s="214"/>
      <c r="K32" s="215"/>
      <c r="L32" s="214"/>
      <c r="M32" s="215"/>
      <c r="N32" s="214"/>
      <c r="O32" s="215"/>
      <c r="P32" s="214"/>
      <c r="Q32" s="215"/>
      <c r="R32" s="214">
        <v>1158</v>
      </c>
      <c r="S32" s="215"/>
      <c r="T32" s="214"/>
      <c r="U32" s="215"/>
      <c r="V32" s="214"/>
      <c r="W32" s="215"/>
      <c r="X32" s="214"/>
      <c r="Y32" s="215"/>
      <c r="Z32" s="214"/>
      <c r="AA32" s="215"/>
      <c r="AB32" s="214"/>
      <c r="AC32" s="215"/>
      <c r="AD32" s="214"/>
      <c r="AE32" s="215"/>
      <c r="AF32" s="214"/>
      <c r="AG32" s="215"/>
      <c r="AH32" s="214"/>
      <c r="AI32" s="215"/>
      <c r="AJ32" s="214"/>
      <c r="AK32" s="215"/>
      <c r="AL32" s="214"/>
      <c r="AM32" s="215"/>
      <c r="AN32" s="214"/>
      <c r="AO32" s="215"/>
      <c r="AP32" s="214"/>
      <c r="AQ32" s="215"/>
      <c r="AR32" s="214"/>
      <c r="AS32" s="215"/>
      <c r="AT32" s="214"/>
      <c r="AU32" s="215"/>
      <c r="AV32" s="214"/>
      <c r="AW32" s="215"/>
      <c r="AX32" s="214"/>
      <c r="AY32" s="215"/>
      <c r="AZ32" s="214"/>
      <c r="BA32" s="215"/>
      <c r="BB32" s="214"/>
      <c r="BC32" s="215"/>
      <c r="BD32" s="214"/>
      <c r="BE32" s="215"/>
      <c r="BF32" s="214"/>
      <c r="BG32" s="215"/>
      <c r="BH32" s="214"/>
      <c r="BI32" s="215"/>
      <c r="BJ32" s="214"/>
      <c r="BK32" s="215"/>
      <c r="BL32" s="214"/>
      <c r="BM32" s="215"/>
      <c r="BN32" s="214"/>
      <c r="BO32" s="215">
        <v>1158</v>
      </c>
      <c r="BP32" s="214"/>
      <c r="BQ32" s="215"/>
      <c r="BR32" s="193">
        <f t="shared" si="0"/>
        <v>0</v>
      </c>
    </row>
    <row r="33" spans="1:70" s="79" customFormat="1">
      <c r="A33" s="234">
        <v>40420</v>
      </c>
      <c r="B33" s="188" t="s">
        <v>547</v>
      </c>
      <c r="C33" s="211">
        <v>20</v>
      </c>
      <c r="D33" s="214"/>
      <c r="E33" s="215"/>
      <c r="F33" s="214">
        <v>800</v>
      </c>
      <c r="G33" s="215"/>
      <c r="H33" s="214"/>
      <c r="I33" s="215"/>
      <c r="J33" s="214"/>
      <c r="K33" s="215"/>
      <c r="L33" s="214"/>
      <c r="M33" s="215"/>
      <c r="N33" s="214"/>
      <c r="O33" s="215"/>
      <c r="P33" s="214"/>
      <c r="Q33" s="215"/>
      <c r="R33" s="214"/>
      <c r="S33" s="215"/>
      <c r="T33" s="214"/>
      <c r="U33" s="215"/>
      <c r="V33" s="214"/>
      <c r="W33" s="215"/>
      <c r="X33" s="214"/>
      <c r="Y33" s="215"/>
      <c r="Z33" s="214"/>
      <c r="AA33" s="215"/>
      <c r="AB33" s="214"/>
      <c r="AC33" s="215"/>
      <c r="AD33" s="214"/>
      <c r="AE33" s="215"/>
      <c r="AF33" s="214"/>
      <c r="AG33" s="215">
        <v>800</v>
      </c>
      <c r="AH33" s="214"/>
      <c r="AI33" s="215"/>
      <c r="AJ33" s="214"/>
      <c r="AK33" s="215"/>
      <c r="AL33" s="214"/>
      <c r="AM33" s="215"/>
      <c r="AN33" s="214"/>
      <c r="AO33" s="215"/>
      <c r="AP33" s="214"/>
      <c r="AQ33" s="215"/>
      <c r="AR33" s="214"/>
      <c r="AS33" s="215"/>
      <c r="AT33" s="214"/>
      <c r="AU33" s="215"/>
      <c r="AV33" s="214"/>
      <c r="AW33" s="215"/>
      <c r="AX33" s="214"/>
      <c r="AY33" s="215"/>
      <c r="AZ33" s="214"/>
      <c r="BA33" s="215"/>
      <c r="BB33" s="214"/>
      <c r="BC33" s="215"/>
      <c r="BD33" s="214"/>
      <c r="BE33" s="215"/>
      <c r="BF33" s="214"/>
      <c r="BG33" s="215"/>
      <c r="BH33" s="214"/>
      <c r="BI33" s="215"/>
      <c r="BJ33" s="214"/>
      <c r="BK33" s="215"/>
      <c r="BL33" s="214"/>
      <c r="BM33" s="215"/>
      <c r="BN33" s="214"/>
      <c r="BO33" s="215"/>
      <c r="BP33" s="214"/>
      <c r="BQ33" s="215"/>
      <c r="BR33" s="193"/>
    </row>
    <row r="34" spans="1:70" s="79" customFormat="1">
      <c r="A34" s="234">
        <v>40421</v>
      </c>
      <c r="B34" s="188" t="s">
        <v>268</v>
      </c>
      <c r="C34" s="211">
        <v>20</v>
      </c>
      <c r="D34" s="214"/>
      <c r="E34" s="215"/>
      <c r="F34" s="214"/>
      <c r="G34" s="215">
        <v>90</v>
      </c>
      <c r="H34" s="214"/>
      <c r="I34" s="215"/>
      <c r="J34" s="214"/>
      <c r="K34" s="215"/>
      <c r="L34" s="214"/>
      <c r="M34" s="215"/>
      <c r="N34" s="214"/>
      <c r="O34" s="215"/>
      <c r="P34" s="214"/>
      <c r="Q34" s="215"/>
      <c r="R34" s="214"/>
      <c r="S34" s="215"/>
      <c r="T34" s="214">
        <v>90</v>
      </c>
      <c r="U34" s="215"/>
      <c r="V34" s="214"/>
      <c r="W34" s="215"/>
      <c r="X34" s="214"/>
      <c r="Y34" s="215"/>
      <c r="Z34" s="214"/>
      <c r="AA34" s="215"/>
      <c r="AB34" s="214"/>
      <c r="AC34" s="215"/>
      <c r="AD34" s="214"/>
      <c r="AE34" s="215"/>
      <c r="AF34" s="214"/>
      <c r="AG34" s="215"/>
      <c r="AH34" s="214"/>
      <c r="AI34" s="215"/>
      <c r="AJ34" s="214"/>
      <c r="AK34" s="215"/>
      <c r="AL34" s="214"/>
      <c r="AM34" s="215"/>
      <c r="AN34" s="214"/>
      <c r="AO34" s="215"/>
      <c r="AP34" s="214"/>
      <c r="AQ34" s="215"/>
      <c r="AR34" s="214"/>
      <c r="AS34" s="215"/>
      <c r="AT34" s="214"/>
      <c r="AU34" s="215"/>
      <c r="AV34" s="214"/>
      <c r="AW34" s="215"/>
      <c r="AX34" s="214"/>
      <c r="AY34" s="215"/>
      <c r="AZ34" s="214"/>
      <c r="BA34" s="215"/>
      <c r="BB34" s="214"/>
      <c r="BC34" s="215"/>
      <c r="BD34" s="214"/>
      <c r="BE34" s="215"/>
      <c r="BF34" s="214"/>
      <c r="BG34" s="215"/>
      <c r="BH34" s="214"/>
      <c r="BI34" s="215"/>
      <c r="BJ34" s="214"/>
      <c r="BK34" s="215"/>
      <c r="BL34" s="214"/>
      <c r="BM34" s="215"/>
      <c r="BN34" s="214"/>
      <c r="BO34" s="215"/>
      <c r="BP34" s="214"/>
      <c r="BQ34" s="215"/>
      <c r="BR34" s="193"/>
    </row>
    <row r="35" spans="1:70" s="79" customFormat="1">
      <c r="A35" s="234">
        <v>40451</v>
      </c>
      <c r="B35" s="188" t="s">
        <v>548</v>
      </c>
      <c r="C35" s="211">
        <v>21</v>
      </c>
      <c r="D35" s="214"/>
      <c r="E35" s="215"/>
      <c r="F35" s="214">
        <v>19000</v>
      </c>
      <c r="G35" s="215"/>
      <c r="H35" s="214"/>
      <c r="I35" s="215"/>
      <c r="J35" s="214"/>
      <c r="K35" s="215"/>
      <c r="L35" s="214"/>
      <c r="M35" s="215"/>
      <c r="N35" s="214"/>
      <c r="O35" s="215"/>
      <c r="P35" s="214"/>
      <c r="Q35" s="215"/>
      <c r="R35" s="214"/>
      <c r="S35" s="215"/>
      <c r="T35" s="214"/>
      <c r="U35" s="215"/>
      <c r="V35" s="214"/>
      <c r="W35" s="215"/>
      <c r="X35" s="214"/>
      <c r="Y35" s="215"/>
      <c r="Z35" s="214"/>
      <c r="AA35" s="215"/>
      <c r="AB35" s="214"/>
      <c r="AC35" s="215"/>
      <c r="AD35" s="214"/>
      <c r="AE35" s="215"/>
      <c r="AF35" s="214"/>
      <c r="AG35" s="215">
        <v>19000</v>
      </c>
      <c r="AH35" s="214"/>
      <c r="AI35" s="215"/>
      <c r="AJ35" s="214"/>
      <c r="AK35" s="215"/>
      <c r="AL35" s="214"/>
      <c r="AM35" s="215"/>
      <c r="AN35" s="214"/>
      <c r="AO35" s="215"/>
      <c r="AP35" s="214"/>
      <c r="AQ35" s="215"/>
      <c r="AR35" s="214"/>
      <c r="AS35" s="215"/>
      <c r="AT35" s="214"/>
      <c r="AU35" s="215"/>
      <c r="AV35" s="214"/>
      <c r="AW35" s="215"/>
      <c r="AX35" s="214"/>
      <c r="AY35" s="215"/>
      <c r="AZ35" s="214"/>
      <c r="BA35" s="215"/>
      <c r="BB35" s="214"/>
      <c r="BC35" s="215"/>
      <c r="BD35" s="214"/>
      <c r="BE35" s="215"/>
      <c r="BF35" s="214"/>
      <c r="BG35" s="215"/>
      <c r="BH35" s="214"/>
      <c r="BI35" s="215"/>
      <c r="BJ35" s="214"/>
      <c r="BK35" s="215"/>
      <c r="BL35" s="214"/>
      <c r="BM35" s="215"/>
      <c r="BN35" s="214"/>
      <c r="BO35" s="215"/>
      <c r="BP35" s="214"/>
      <c r="BQ35" s="215"/>
      <c r="BR35" s="193"/>
    </row>
    <row r="36" spans="1:70" s="79" customFormat="1">
      <c r="A36" s="234">
        <v>40482</v>
      </c>
      <c r="B36" s="188" t="s">
        <v>549</v>
      </c>
      <c r="C36" s="211">
        <v>22</v>
      </c>
      <c r="D36" s="214"/>
      <c r="E36" s="215"/>
      <c r="F36" s="214">
        <v>2000</v>
      </c>
      <c r="G36" s="215"/>
      <c r="H36" s="214"/>
      <c r="I36" s="215"/>
      <c r="J36" s="214"/>
      <c r="K36" s="215"/>
      <c r="L36" s="214"/>
      <c r="M36" s="215"/>
      <c r="N36" s="214"/>
      <c r="O36" s="215"/>
      <c r="P36" s="214"/>
      <c r="Q36" s="215"/>
      <c r="R36" s="214"/>
      <c r="S36" s="215"/>
      <c r="T36" s="214"/>
      <c r="U36" s="215"/>
      <c r="V36" s="214"/>
      <c r="W36" s="215"/>
      <c r="X36" s="214"/>
      <c r="Y36" s="215"/>
      <c r="Z36" s="214"/>
      <c r="AA36" s="215"/>
      <c r="AB36" s="214"/>
      <c r="AC36" s="215"/>
      <c r="AD36" s="214"/>
      <c r="AE36" s="215"/>
      <c r="AF36" s="214"/>
      <c r="AG36" s="215">
        <v>2000</v>
      </c>
      <c r="AH36" s="214"/>
      <c r="AI36" s="215"/>
      <c r="AJ36" s="214"/>
      <c r="AK36" s="215"/>
      <c r="AL36" s="214"/>
      <c r="AM36" s="215"/>
      <c r="AN36" s="214"/>
      <c r="AO36" s="215"/>
      <c r="AP36" s="214"/>
      <c r="AQ36" s="215"/>
      <c r="AR36" s="214"/>
      <c r="AS36" s="215"/>
      <c r="AT36" s="214"/>
      <c r="AU36" s="215"/>
      <c r="AV36" s="214"/>
      <c r="AW36" s="215"/>
      <c r="AX36" s="214"/>
      <c r="AY36" s="215"/>
      <c r="AZ36" s="214"/>
      <c r="BA36" s="215"/>
      <c r="BB36" s="214"/>
      <c r="BC36" s="215"/>
      <c r="BD36" s="214"/>
      <c r="BE36" s="215"/>
      <c r="BF36" s="214"/>
      <c r="BG36" s="215"/>
      <c r="BH36" s="214"/>
      <c r="BI36" s="215"/>
      <c r="BJ36" s="214"/>
      <c r="BK36" s="215"/>
      <c r="BL36" s="214"/>
      <c r="BM36" s="215"/>
      <c r="BN36" s="214"/>
      <c r="BO36" s="215"/>
      <c r="BP36" s="214"/>
      <c r="BQ36" s="215"/>
      <c r="BR36" s="193"/>
    </row>
    <row r="37" spans="1:70" s="79" customFormat="1">
      <c r="A37" s="234">
        <v>40512</v>
      </c>
      <c r="B37" s="188" t="s">
        <v>550</v>
      </c>
      <c r="C37" s="211">
        <v>23</v>
      </c>
      <c r="D37" s="214"/>
      <c r="E37" s="215"/>
      <c r="F37" s="214">
        <v>600</v>
      </c>
      <c r="G37" s="215"/>
      <c r="H37" s="214"/>
      <c r="I37" s="215"/>
      <c r="J37" s="214"/>
      <c r="K37" s="215"/>
      <c r="L37" s="214"/>
      <c r="M37" s="215"/>
      <c r="N37" s="214"/>
      <c r="O37" s="215"/>
      <c r="P37" s="214"/>
      <c r="Q37" s="215"/>
      <c r="R37" s="214"/>
      <c r="S37" s="215"/>
      <c r="T37" s="214"/>
      <c r="U37" s="215"/>
      <c r="V37" s="214"/>
      <c r="W37" s="215"/>
      <c r="X37" s="214"/>
      <c r="Y37" s="215"/>
      <c r="Z37" s="214"/>
      <c r="AA37" s="215"/>
      <c r="AB37" s="214"/>
      <c r="AC37" s="215"/>
      <c r="AD37" s="214"/>
      <c r="AE37" s="215"/>
      <c r="AF37" s="214"/>
      <c r="AG37" s="215">
        <v>600</v>
      </c>
      <c r="AH37" s="214"/>
      <c r="AI37" s="215"/>
      <c r="AJ37" s="214"/>
      <c r="AK37" s="215"/>
      <c r="AL37" s="214"/>
      <c r="AM37" s="215"/>
      <c r="AN37" s="214"/>
      <c r="AO37" s="215"/>
      <c r="AP37" s="214"/>
      <c r="AQ37" s="215"/>
      <c r="AR37" s="214"/>
      <c r="AS37" s="215"/>
      <c r="AT37" s="214"/>
      <c r="AU37" s="215"/>
      <c r="AV37" s="214"/>
      <c r="AW37" s="215"/>
      <c r="AX37" s="214"/>
      <c r="AY37" s="215"/>
      <c r="AZ37" s="214"/>
      <c r="BA37" s="215"/>
      <c r="BB37" s="214"/>
      <c r="BC37" s="215"/>
      <c r="BD37" s="214"/>
      <c r="BE37" s="215"/>
      <c r="BF37" s="214"/>
      <c r="BG37" s="215"/>
      <c r="BH37" s="214"/>
      <c r="BI37" s="215"/>
      <c r="BJ37" s="214"/>
      <c r="BK37" s="215"/>
      <c r="BL37" s="214"/>
      <c r="BM37" s="215"/>
      <c r="BN37" s="214"/>
      <c r="BO37" s="215"/>
      <c r="BP37" s="214"/>
      <c r="BQ37" s="215"/>
      <c r="BR37" s="193"/>
    </row>
    <row r="38" spans="1:70" s="79" customFormat="1">
      <c r="A38" s="234">
        <v>40534</v>
      </c>
      <c r="B38" s="188" t="s">
        <v>551</v>
      </c>
      <c r="C38" s="211">
        <v>24</v>
      </c>
      <c r="D38" s="214"/>
      <c r="E38" s="215"/>
      <c r="F38" s="214">
        <v>400</v>
      </c>
      <c r="G38" s="215"/>
      <c r="H38" s="214"/>
      <c r="I38" s="215"/>
      <c r="J38" s="214"/>
      <c r="K38" s="215"/>
      <c r="L38" s="214"/>
      <c r="M38" s="215"/>
      <c r="N38" s="214"/>
      <c r="O38" s="215"/>
      <c r="P38" s="214"/>
      <c r="Q38" s="215"/>
      <c r="R38" s="214"/>
      <c r="S38" s="215"/>
      <c r="T38" s="214"/>
      <c r="U38" s="215"/>
      <c r="V38" s="214"/>
      <c r="W38" s="215"/>
      <c r="X38" s="214"/>
      <c r="Y38" s="215"/>
      <c r="Z38" s="214"/>
      <c r="AA38" s="215"/>
      <c r="AB38" s="214"/>
      <c r="AC38" s="215"/>
      <c r="AD38" s="214"/>
      <c r="AE38" s="215"/>
      <c r="AF38" s="214"/>
      <c r="AG38" s="215">
        <v>400</v>
      </c>
      <c r="AH38" s="214"/>
      <c r="AI38" s="215"/>
      <c r="AJ38" s="214"/>
      <c r="AK38" s="215"/>
      <c r="AL38" s="214"/>
      <c r="AM38" s="215"/>
      <c r="AN38" s="214"/>
      <c r="AO38" s="215"/>
      <c r="AP38" s="214"/>
      <c r="AQ38" s="215"/>
      <c r="AR38" s="214"/>
      <c r="AS38" s="215"/>
      <c r="AT38" s="214"/>
      <c r="AU38" s="215"/>
      <c r="AV38" s="214"/>
      <c r="AW38" s="215"/>
      <c r="AX38" s="214"/>
      <c r="AY38" s="215"/>
      <c r="AZ38" s="214"/>
      <c r="BA38" s="215"/>
      <c r="BB38" s="214"/>
      <c r="BC38" s="215"/>
      <c r="BD38" s="214"/>
      <c r="BE38" s="215"/>
      <c r="BF38" s="214"/>
      <c r="BG38" s="215"/>
      <c r="BH38" s="214"/>
      <c r="BI38" s="215"/>
      <c r="BJ38" s="214"/>
      <c r="BK38" s="215"/>
      <c r="BL38" s="214"/>
      <c r="BM38" s="215"/>
      <c r="BN38" s="214"/>
      <c r="BO38" s="215"/>
      <c r="BP38" s="214"/>
      <c r="BQ38" s="215"/>
      <c r="BR38" s="193"/>
    </row>
    <row r="39" spans="1:70" s="79" customFormat="1">
      <c r="A39" s="234">
        <v>40543</v>
      </c>
      <c r="B39" s="188" t="s">
        <v>552</v>
      </c>
      <c r="C39" s="211">
        <v>24</v>
      </c>
      <c r="D39" s="214"/>
      <c r="E39" s="215"/>
      <c r="F39" s="214">
        <v>936.49</v>
      </c>
      <c r="G39" s="215"/>
      <c r="H39" s="214"/>
      <c r="I39" s="215"/>
      <c r="J39" s="214"/>
      <c r="K39" s="215"/>
      <c r="L39" s="214"/>
      <c r="M39" s="215"/>
      <c r="N39" s="214"/>
      <c r="O39" s="215"/>
      <c r="P39" s="214"/>
      <c r="Q39" s="215"/>
      <c r="R39" s="214"/>
      <c r="S39" s="215"/>
      <c r="T39" s="214"/>
      <c r="U39" s="215"/>
      <c r="V39" s="214"/>
      <c r="W39" s="215"/>
      <c r="X39" s="214"/>
      <c r="Y39" s="215"/>
      <c r="Z39" s="214"/>
      <c r="AA39" s="215"/>
      <c r="AB39" s="214"/>
      <c r="AC39" s="215"/>
      <c r="AD39" s="214"/>
      <c r="AE39" s="215"/>
      <c r="AF39" s="214"/>
      <c r="AG39" s="215"/>
      <c r="AH39" s="214"/>
      <c r="AI39" s="215"/>
      <c r="AJ39" s="214"/>
      <c r="AK39" s="215"/>
      <c r="AL39" s="214"/>
      <c r="AM39" s="215">
        <v>936.49</v>
      </c>
      <c r="AN39" s="214"/>
      <c r="AO39" s="215"/>
      <c r="AP39" s="214"/>
      <c r="AQ39" s="215"/>
      <c r="AR39" s="214"/>
      <c r="AS39" s="215"/>
      <c r="AT39" s="214"/>
      <c r="AU39" s="215"/>
      <c r="AV39" s="214"/>
      <c r="AW39" s="215"/>
      <c r="AX39" s="214"/>
      <c r="AY39" s="215"/>
      <c r="AZ39" s="214"/>
      <c r="BA39" s="215"/>
      <c r="BB39" s="214"/>
      <c r="BC39" s="215"/>
      <c r="BD39" s="214"/>
      <c r="BE39" s="215"/>
      <c r="BF39" s="214"/>
      <c r="BG39" s="215"/>
      <c r="BH39" s="214"/>
      <c r="BI39" s="215"/>
      <c r="BJ39" s="214"/>
      <c r="BK39" s="215"/>
      <c r="BL39" s="214"/>
      <c r="BM39" s="215"/>
      <c r="BN39" s="214"/>
      <c r="BO39" s="215"/>
      <c r="BP39" s="214"/>
      <c r="BQ39" s="215"/>
      <c r="BR39" s="193"/>
    </row>
    <row r="40" spans="1:70" s="79" customFormat="1">
      <c r="A40" s="234">
        <v>40543</v>
      </c>
      <c r="B40" s="188" t="s">
        <v>552</v>
      </c>
      <c r="C40" s="211">
        <v>25</v>
      </c>
      <c r="D40" s="214"/>
      <c r="E40" s="215"/>
      <c r="F40" s="214"/>
      <c r="G40" s="215"/>
      <c r="H40" s="214"/>
      <c r="I40" s="215"/>
      <c r="J40" s="214"/>
      <c r="K40" s="215"/>
      <c r="L40" s="214"/>
      <c r="M40" s="215"/>
      <c r="N40" s="214"/>
      <c r="O40" s="215"/>
      <c r="P40" s="214"/>
      <c r="Q40" s="215"/>
      <c r="R40" s="214"/>
      <c r="S40" s="215"/>
      <c r="T40" s="214"/>
      <c r="U40" s="215"/>
      <c r="V40" s="214"/>
      <c r="W40" s="215"/>
      <c r="X40" s="214"/>
      <c r="Y40" s="215"/>
      <c r="Z40" s="214"/>
      <c r="AA40" s="215"/>
      <c r="AB40" s="214"/>
      <c r="AC40" s="215"/>
      <c r="AD40" s="214"/>
      <c r="AE40" s="215"/>
      <c r="AF40" s="214"/>
      <c r="AG40" s="215"/>
      <c r="AH40" s="214">
        <v>10855.4</v>
      </c>
      <c r="AI40" s="215"/>
      <c r="AJ40" s="214"/>
      <c r="AK40" s="215">
        <v>10855.4</v>
      </c>
      <c r="AL40" s="214"/>
      <c r="AM40" s="215"/>
      <c r="AN40" s="214"/>
      <c r="AO40" s="215"/>
      <c r="AP40" s="214"/>
      <c r="AQ40" s="215"/>
      <c r="AR40" s="214"/>
      <c r="AS40" s="215"/>
      <c r="AT40" s="214"/>
      <c r="AU40" s="215"/>
      <c r="AV40" s="214"/>
      <c r="AW40" s="215"/>
      <c r="AX40" s="214"/>
      <c r="AY40" s="215"/>
      <c r="AZ40" s="214"/>
      <c r="BA40" s="215"/>
      <c r="BB40" s="214"/>
      <c r="BC40" s="215"/>
      <c r="BD40" s="214"/>
      <c r="BE40" s="215"/>
      <c r="BF40" s="214"/>
      <c r="BG40" s="215"/>
      <c r="BH40" s="214"/>
      <c r="BI40" s="215"/>
      <c r="BJ40" s="214"/>
      <c r="BK40" s="215"/>
      <c r="BL40" s="214"/>
      <c r="BM40" s="215"/>
      <c r="BN40" s="214"/>
      <c r="BO40" s="215"/>
      <c r="BP40" s="214"/>
      <c r="BQ40" s="215"/>
      <c r="BR40" s="193"/>
    </row>
    <row r="41" spans="1:70" s="79" customFormat="1">
      <c r="A41" s="234">
        <v>40543</v>
      </c>
      <c r="B41" s="188" t="s">
        <v>554</v>
      </c>
      <c r="C41" s="211">
        <v>26</v>
      </c>
      <c r="D41" s="214"/>
      <c r="E41" s="215"/>
      <c r="F41" s="214"/>
      <c r="G41" s="215"/>
      <c r="H41" s="214"/>
      <c r="I41" s="215"/>
      <c r="J41" s="214"/>
      <c r="K41" s="215"/>
      <c r="L41" s="214"/>
      <c r="M41" s="215"/>
      <c r="N41" s="214"/>
      <c r="O41" s="215"/>
      <c r="P41" s="214"/>
      <c r="Q41" s="215"/>
      <c r="R41" s="214"/>
      <c r="S41" s="215"/>
      <c r="T41" s="214">
        <v>450</v>
      </c>
      <c r="U41" s="215"/>
      <c r="V41" s="214"/>
      <c r="W41" s="215"/>
      <c r="X41" s="214"/>
      <c r="Y41" s="215"/>
      <c r="Z41" s="214"/>
      <c r="AA41" s="215"/>
      <c r="AB41" s="214"/>
      <c r="AC41" s="215"/>
      <c r="AD41" s="214"/>
      <c r="AE41" s="215"/>
      <c r="AF41" s="214"/>
      <c r="AG41" s="215"/>
      <c r="AH41" s="214"/>
      <c r="AI41" s="215"/>
      <c r="AJ41" s="214"/>
      <c r="AK41" s="215"/>
      <c r="AL41" s="214"/>
      <c r="AM41" s="215"/>
      <c r="AN41" s="214"/>
      <c r="AO41" s="215"/>
      <c r="AP41" s="214"/>
      <c r="AQ41" s="215"/>
      <c r="AR41" s="214"/>
      <c r="AS41" s="215"/>
      <c r="AT41" s="214"/>
      <c r="AU41" s="215"/>
      <c r="AV41" s="214"/>
      <c r="AW41" s="215"/>
      <c r="AX41" s="214"/>
      <c r="AY41" s="215"/>
      <c r="AZ41" s="214"/>
      <c r="BA41" s="215"/>
      <c r="BB41" s="214"/>
      <c r="BC41" s="215"/>
      <c r="BD41" s="214"/>
      <c r="BE41" s="215"/>
      <c r="BF41" s="214"/>
      <c r="BG41" s="215"/>
      <c r="BH41" s="214"/>
      <c r="BI41" s="215"/>
      <c r="BJ41" s="214"/>
      <c r="BK41" s="215"/>
      <c r="BL41" s="214"/>
      <c r="BM41" s="215"/>
      <c r="BN41" s="214"/>
      <c r="BO41" s="215">
        <v>450</v>
      </c>
      <c r="BP41" s="214"/>
      <c r="BQ41" s="215"/>
      <c r="BR41" s="193"/>
    </row>
    <row r="42" spans="1:70" s="79" customFormat="1">
      <c r="A42" s="234">
        <v>40543</v>
      </c>
      <c r="B42" s="188" t="s">
        <v>555</v>
      </c>
      <c r="C42" s="211">
        <v>27</v>
      </c>
      <c r="D42" s="214"/>
      <c r="E42" s="215"/>
      <c r="F42" s="214"/>
      <c r="G42" s="215"/>
      <c r="H42" s="214">
        <v>5000</v>
      </c>
      <c r="I42" s="215"/>
      <c r="J42" s="214"/>
      <c r="K42" s="215"/>
      <c r="L42" s="214"/>
      <c r="M42" s="215"/>
      <c r="N42" s="214"/>
      <c r="O42" s="215"/>
      <c r="P42" s="214"/>
      <c r="Q42" s="215"/>
      <c r="R42" s="214"/>
      <c r="S42" s="215"/>
      <c r="T42" s="214"/>
      <c r="U42" s="215"/>
      <c r="V42" s="214"/>
      <c r="W42" s="215"/>
      <c r="X42" s="214"/>
      <c r="Y42" s="215"/>
      <c r="Z42" s="214"/>
      <c r="AA42" s="215"/>
      <c r="AB42" s="214"/>
      <c r="AC42" s="215"/>
      <c r="AD42" s="214"/>
      <c r="AE42" s="215"/>
      <c r="AF42" s="214"/>
      <c r="AG42" s="215"/>
      <c r="AH42" s="214"/>
      <c r="AI42" s="215"/>
      <c r="AJ42" s="214"/>
      <c r="AK42" s="215"/>
      <c r="AL42" s="214"/>
      <c r="AM42" s="215"/>
      <c r="AN42" s="214"/>
      <c r="AO42" s="215"/>
      <c r="AP42" s="214"/>
      <c r="AQ42" s="215"/>
      <c r="AR42" s="214"/>
      <c r="AS42" s="215"/>
      <c r="AT42" s="214"/>
      <c r="AU42" s="215"/>
      <c r="AV42" s="214"/>
      <c r="AW42" s="215"/>
      <c r="AX42" s="214"/>
      <c r="AY42" s="215"/>
      <c r="AZ42" s="214"/>
      <c r="BA42" s="215"/>
      <c r="BB42" s="214"/>
      <c r="BC42" s="215"/>
      <c r="BD42" s="214"/>
      <c r="BE42" s="215"/>
      <c r="BF42" s="214"/>
      <c r="BG42" s="215"/>
      <c r="BH42" s="214"/>
      <c r="BI42" s="215"/>
      <c r="BJ42" s="214"/>
      <c r="BK42" s="215"/>
      <c r="BL42" s="214"/>
      <c r="BM42" s="215"/>
      <c r="BN42" s="214"/>
      <c r="BO42" s="215">
        <v>5000</v>
      </c>
      <c r="BP42" s="214"/>
      <c r="BQ42" s="215"/>
      <c r="BR42" s="193"/>
    </row>
    <row r="43" spans="1:70" s="79" customFormat="1">
      <c r="A43" s="234">
        <v>40500</v>
      </c>
      <c r="B43" s="188" t="s">
        <v>556</v>
      </c>
      <c r="C43" s="211">
        <v>28</v>
      </c>
      <c r="D43" s="214"/>
      <c r="E43" s="215"/>
      <c r="F43" s="214"/>
      <c r="G43" s="215"/>
      <c r="H43" s="214"/>
      <c r="I43" s="215"/>
      <c r="J43" s="214"/>
      <c r="K43" s="215"/>
      <c r="L43" s="214"/>
      <c r="M43" s="215"/>
      <c r="N43" s="214"/>
      <c r="O43" s="215"/>
      <c r="P43" s="214"/>
      <c r="Q43" s="215"/>
      <c r="R43" s="214"/>
      <c r="S43" s="215"/>
      <c r="T43" s="214">
        <v>200</v>
      </c>
      <c r="U43" s="215"/>
      <c r="V43" s="214"/>
      <c r="W43" s="215"/>
      <c r="X43" s="214"/>
      <c r="Y43" s="215"/>
      <c r="Z43" s="214"/>
      <c r="AA43" s="215"/>
      <c r="AB43" s="214"/>
      <c r="AC43" s="215"/>
      <c r="AD43" s="214"/>
      <c r="AE43" s="215"/>
      <c r="AF43" s="214"/>
      <c r="AG43" s="215"/>
      <c r="AH43" s="214"/>
      <c r="AI43" s="215"/>
      <c r="AJ43" s="214"/>
      <c r="AK43" s="215"/>
      <c r="AL43" s="214"/>
      <c r="AM43" s="215"/>
      <c r="AN43" s="214"/>
      <c r="AO43" s="215"/>
      <c r="AP43" s="214"/>
      <c r="AQ43" s="215"/>
      <c r="AR43" s="214"/>
      <c r="AS43" s="215"/>
      <c r="AT43" s="214"/>
      <c r="AU43" s="215"/>
      <c r="AV43" s="214"/>
      <c r="AW43" s="215"/>
      <c r="AX43" s="214"/>
      <c r="AY43" s="215"/>
      <c r="AZ43" s="214"/>
      <c r="BA43" s="215"/>
      <c r="BB43" s="214"/>
      <c r="BC43" s="215"/>
      <c r="BD43" s="214"/>
      <c r="BE43" s="215"/>
      <c r="BF43" s="214"/>
      <c r="BG43" s="215"/>
      <c r="BH43" s="214"/>
      <c r="BI43" s="215"/>
      <c r="BJ43" s="214"/>
      <c r="BK43" s="215"/>
      <c r="BL43" s="214"/>
      <c r="BM43" s="215"/>
      <c r="BN43" s="214"/>
      <c r="BO43" s="215">
        <v>200</v>
      </c>
      <c r="BP43" s="214"/>
      <c r="BQ43" s="215"/>
      <c r="BR43" s="193"/>
    </row>
    <row r="44" spans="1:70" s="79" customFormat="1">
      <c r="A44" s="234"/>
      <c r="B44" s="188"/>
      <c r="C44" s="211"/>
      <c r="D44" s="214"/>
      <c r="E44" s="215"/>
      <c r="F44" s="214"/>
      <c r="G44" s="215"/>
      <c r="H44" s="214"/>
      <c r="I44" s="215"/>
      <c r="J44" s="214"/>
      <c r="K44" s="215"/>
      <c r="L44" s="214"/>
      <c r="M44" s="215"/>
      <c r="N44" s="214"/>
      <c r="O44" s="215"/>
      <c r="P44" s="214"/>
      <c r="Q44" s="215"/>
      <c r="R44" s="214"/>
      <c r="S44" s="215"/>
      <c r="T44" s="214"/>
      <c r="U44" s="215"/>
      <c r="V44" s="214"/>
      <c r="W44" s="215"/>
      <c r="X44" s="214"/>
      <c r="Y44" s="215"/>
      <c r="Z44" s="214"/>
      <c r="AA44" s="215"/>
      <c r="AB44" s="214"/>
      <c r="AC44" s="215"/>
      <c r="AD44" s="214"/>
      <c r="AE44" s="215"/>
      <c r="AF44" s="214"/>
      <c r="AG44" s="215"/>
      <c r="AH44" s="214"/>
      <c r="AI44" s="215"/>
      <c r="AJ44" s="214"/>
      <c r="AK44" s="215"/>
      <c r="AL44" s="214"/>
      <c r="AM44" s="215"/>
      <c r="AN44" s="214"/>
      <c r="AO44" s="215"/>
      <c r="AP44" s="214"/>
      <c r="AQ44" s="215"/>
      <c r="AR44" s="214"/>
      <c r="AS44" s="215"/>
      <c r="AT44" s="214"/>
      <c r="AU44" s="215"/>
      <c r="AV44" s="214"/>
      <c r="AW44" s="215"/>
      <c r="AX44" s="214"/>
      <c r="AY44" s="215"/>
      <c r="AZ44" s="214"/>
      <c r="BA44" s="215"/>
      <c r="BB44" s="214"/>
      <c r="BC44" s="215"/>
      <c r="BD44" s="214"/>
      <c r="BE44" s="215"/>
      <c r="BF44" s="214"/>
      <c r="BG44" s="215"/>
      <c r="BH44" s="214"/>
      <c r="BI44" s="215"/>
      <c r="BJ44" s="214"/>
      <c r="BK44" s="215"/>
      <c r="BL44" s="214"/>
      <c r="BM44" s="215"/>
      <c r="BN44" s="214"/>
      <c r="BO44" s="215"/>
      <c r="BP44" s="214"/>
      <c r="BQ44" s="215"/>
      <c r="BR44" s="193"/>
    </row>
    <row r="45" spans="1:70" s="79" customFormat="1">
      <c r="A45" s="234"/>
      <c r="B45" s="188"/>
      <c r="C45" s="211"/>
      <c r="D45" s="214"/>
      <c r="E45" s="215"/>
      <c r="F45" s="214"/>
      <c r="G45" s="215"/>
      <c r="H45" s="214"/>
      <c r="I45" s="215"/>
      <c r="J45" s="214"/>
      <c r="K45" s="215"/>
      <c r="L45" s="214"/>
      <c r="M45" s="215"/>
      <c r="N45" s="214"/>
      <c r="O45" s="215"/>
      <c r="P45" s="214"/>
      <c r="Q45" s="215"/>
      <c r="R45" s="214"/>
      <c r="S45" s="215"/>
      <c r="T45" s="214"/>
      <c r="U45" s="215"/>
      <c r="V45" s="214"/>
      <c r="W45" s="215"/>
      <c r="X45" s="214"/>
      <c r="Y45" s="215"/>
      <c r="Z45" s="214"/>
      <c r="AA45" s="215"/>
      <c r="AB45" s="214"/>
      <c r="AC45" s="215"/>
      <c r="AD45" s="214"/>
      <c r="AE45" s="215"/>
      <c r="AF45" s="214"/>
      <c r="AG45" s="215"/>
      <c r="AH45" s="214"/>
      <c r="AI45" s="215"/>
      <c r="AJ45" s="214"/>
      <c r="AK45" s="215"/>
      <c r="AL45" s="214"/>
      <c r="AM45" s="215"/>
      <c r="AN45" s="214"/>
      <c r="AO45" s="215"/>
      <c r="AP45" s="214"/>
      <c r="AQ45" s="215"/>
      <c r="AR45" s="214"/>
      <c r="AS45" s="215"/>
      <c r="AT45" s="214"/>
      <c r="AU45" s="215"/>
      <c r="AV45" s="214"/>
      <c r="AW45" s="215"/>
      <c r="AX45" s="214"/>
      <c r="AY45" s="215"/>
      <c r="AZ45" s="214"/>
      <c r="BA45" s="215"/>
      <c r="BB45" s="214"/>
      <c r="BC45" s="215"/>
      <c r="BD45" s="214"/>
      <c r="BE45" s="215"/>
      <c r="BF45" s="214"/>
      <c r="BG45" s="215"/>
      <c r="BH45" s="214"/>
      <c r="BI45" s="215"/>
      <c r="BJ45" s="214"/>
      <c r="BK45" s="215"/>
      <c r="BL45" s="214"/>
      <c r="BM45" s="215"/>
      <c r="BN45" s="214"/>
      <c r="BO45" s="215"/>
      <c r="BP45" s="214"/>
      <c r="BQ45" s="215"/>
      <c r="BR45" s="193"/>
    </row>
    <row r="46" spans="1:70" s="79" customFormat="1">
      <c r="A46" s="234"/>
      <c r="B46" s="188"/>
      <c r="C46" s="211"/>
      <c r="D46" s="214"/>
      <c r="E46" s="215"/>
      <c r="F46" s="214"/>
      <c r="G46" s="215"/>
      <c r="H46" s="214"/>
      <c r="I46" s="215"/>
      <c r="J46" s="214"/>
      <c r="K46" s="215"/>
      <c r="L46" s="214"/>
      <c r="M46" s="215"/>
      <c r="N46" s="214"/>
      <c r="O46" s="215"/>
      <c r="P46" s="214"/>
      <c r="Q46" s="215"/>
      <c r="R46" s="214"/>
      <c r="S46" s="215"/>
      <c r="T46" s="214"/>
      <c r="U46" s="215"/>
      <c r="V46" s="214"/>
      <c r="W46" s="215"/>
      <c r="X46" s="214"/>
      <c r="Y46" s="215"/>
      <c r="Z46" s="214"/>
      <c r="AA46" s="215"/>
      <c r="AB46" s="214"/>
      <c r="AC46" s="215"/>
      <c r="AD46" s="214"/>
      <c r="AE46" s="215"/>
      <c r="AF46" s="214"/>
      <c r="AG46" s="215"/>
      <c r="AH46" s="214"/>
      <c r="AI46" s="215"/>
      <c r="AJ46" s="214"/>
      <c r="AK46" s="215"/>
      <c r="AL46" s="214"/>
      <c r="AM46" s="215"/>
      <c r="AN46" s="214"/>
      <c r="AO46" s="215"/>
      <c r="AP46" s="214"/>
      <c r="AQ46" s="215"/>
      <c r="AR46" s="214"/>
      <c r="AS46" s="215"/>
      <c r="AT46" s="214"/>
      <c r="AU46" s="215"/>
      <c r="AV46" s="214"/>
      <c r="AW46" s="215"/>
      <c r="AX46" s="214"/>
      <c r="AY46" s="215"/>
      <c r="AZ46" s="214"/>
      <c r="BA46" s="215"/>
      <c r="BB46" s="214"/>
      <c r="BC46" s="215"/>
      <c r="BD46" s="214"/>
      <c r="BE46" s="215"/>
      <c r="BF46" s="214"/>
      <c r="BG46" s="215"/>
      <c r="BH46" s="214"/>
      <c r="BI46" s="215"/>
      <c r="BJ46" s="214"/>
      <c r="BK46" s="215"/>
      <c r="BL46" s="214"/>
      <c r="BM46" s="215"/>
      <c r="BN46" s="214"/>
      <c r="BO46" s="215"/>
      <c r="BP46" s="214"/>
      <c r="BQ46" s="215"/>
      <c r="BR46" s="193"/>
    </row>
    <row r="47" spans="1:70" s="79" customFormat="1">
      <c r="A47" s="234"/>
      <c r="B47" s="188"/>
      <c r="C47" s="211"/>
      <c r="D47" s="214"/>
      <c r="E47" s="215"/>
      <c r="F47" s="214"/>
      <c r="G47" s="215"/>
      <c r="H47" s="214"/>
      <c r="I47" s="215"/>
      <c r="J47" s="214"/>
      <c r="K47" s="215"/>
      <c r="L47" s="214"/>
      <c r="M47" s="215"/>
      <c r="N47" s="214"/>
      <c r="O47" s="215"/>
      <c r="P47" s="214"/>
      <c r="Q47" s="215"/>
      <c r="R47" s="214"/>
      <c r="S47" s="215"/>
      <c r="T47" s="214"/>
      <c r="U47" s="215"/>
      <c r="V47" s="214"/>
      <c r="W47" s="215"/>
      <c r="X47" s="214"/>
      <c r="Y47" s="215"/>
      <c r="Z47" s="214"/>
      <c r="AA47" s="215"/>
      <c r="AB47" s="214"/>
      <c r="AC47" s="215"/>
      <c r="AD47" s="214"/>
      <c r="AE47" s="215"/>
      <c r="AF47" s="214"/>
      <c r="AG47" s="215"/>
      <c r="AH47" s="214"/>
      <c r="AI47" s="215"/>
      <c r="AJ47" s="214"/>
      <c r="AK47" s="215"/>
      <c r="AL47" s="214"/>
      <c r="AM47" s="215"/>
      <c r="AN47" s="214"/>
      <c r="AO47" s="215"/>
      <c r="AP47" s="214"/>
      <c r="AQ47" s="215"/>
      <c r="AR47" s="214"/>
      <c r="AS47" s="215"/>
      <c r="AT47" s="214"/>
      <c r="AU47" s="215"/>
      <c r="AV47" s="214"/>
      <c r="AW47" s="215"/>
      <c r="AX47" s="214"/>
      <c r="AY47" s="215"/>
      <c r="AZ47" s="214"/>
      <c r="BA47" s="215"/>
      <c r="BB47" s="214"/>
      <c r="BC47" s="215"/>
      <c r="BD47" s="214"/>
      <c r="BE47" s="215"/>
      <c r="BF47" s="214"/>
      <c r="BG47" s="215"/>
      <c r="BH47" s="214"/>
      <c r="BI47" s="215"/>
      <c r="BJ47" s="214"/>
      <c r="BK47" s="215"/>
      <c r="BL47" s="214"/>
      <c r="BM47" s="215"/>
      <c r="BN47" s="214"/>
      <c r="BO47" s="215"/>
      <c r="BP47" s="214"/>
      <c r="BQ47" s="215"/>
      <c r="BR47" s="193"/>
    </row>
    <row r="48" spans="1:70" s="79" customFormat="1">
      <c r="A48" s="234"/>
      <c r="B48" s="188"/>
      <c r="C48" s="211"/>
      <c r="D48" s="214"/>
      <c r="E48" s="215"/>
      <c r="F48" s="214"/>
      <c r="G48" s="215"/>
      <c r="H48" s="214"/>
      <c r="I48" s="215"/>
      <c r="J48" s="214"/>
      <c r="K48" s="215"/>
      <c r="L48" s="214"/>
      <c r="M48" s="215"/>
      <c r="N48" s="214"/>
      <c r="O48" s="215"/>
      <c r="P48" s="214"/>
      <c r="Q48" s="215"/>
      <c r="R48" s="214"/>
      <c r="S48" s="215"/>
      <c r="T48" s="214"/>
      <c r="U48" s="215"/>
      <c r="V48" s="214"/>
      <c r="W48" s="215"/>
      <c r="X48" s="214"/>
      <c r="Y48" s="215"/>
      <c r="Z48" s="214"/>
      <c r="AA48" s="215"/>
      <c r="AB48" s="214"/>
      <c r="AC48" s="215"/>
      <c r="AD48" s="214"/>
      <c r="AE48" s="215"/>
      <c r="AF48" s="214"/>
      <c r="AG48" s="215"/>
      <c r="AH48" s="214"/>
      <c r="AI48" s="215"/>
      <c r="AJ48" s="214"/>
      <c r="AK48" s="215"/>
      <c r="AL48" s="214"/>
      <c r="AM48" s="215"/>
      <c r="AN48" s="214"/>
      <c r="AO48" s="215"/>
      <c r="AP48" s="214"/>
      <c r="AQ48" s="215"/>
      <c r="AR48" s="214"/>
      <c r="AS48" s="215"/>
      <c r="AT48" s="214"/>
      <c r="AU48" s="215"/>
      <c r="AV48" s="214"/>
      <c r="AW48" s="215"/>
      <c r="AX48" s="214"/>
      <c r="AY48" s="215"/>
      <c r="AZ48" s="214"/>
      <c r="BA48" s="215"/>
      <c r="BB48" s="214"/>
      <c r="BC48" s="215"/>
      <c r="BD48" s="214"/>
      <c r="BE48" s="215"/>
      <c r="BF48" s="214"/>
      <c r="BG48" s="215"/>
      <c r="BH48" s="214"/>
      <c r="BI48" s="215"/>
      <c r="BJ48" s="214"/>
      <c r="BK48" s="215"/>
      <c r="BL48" s="214"/>
      <c r="BM48" s="215"/>
      <c r="BN48" s="214"/>
      <c r="BO48" s="215"/>
      <c r="BP48" s="214"/>
      <c r="BQ48" s="215"/>
      <c r="BR48" s="193"/>
    </row>
    <row r="49" spans="1:72" s="79" customFormat="1">
      <c r="A49" s="234"/>
      <c r="B49" s="188"/>
      <c r="C49" s="211"/>
      <c r="D49" s="214"/>
      <c r="E49" s="215"/>
      <c r="F49" s="214"/>
      <c r="G49" s="215"/>
      <c r="H49" s="214"/>
      <c r="I49" s="215"/>
      <c r="J49" s="214"/>
      <c r="K49" s="215"/>
      <c r="L49" s="214"/>
      <c r="M49" s="215"/>
      <c r="N49" s="214"/>
      <c r="O49" s="215"/>
      <c r="P49" s="214"/>
      <c r="Q49" s="215"/>
      <c r="R49" s="214"/>
      <c r="S49" s="215"/>
      <c r="T49" s="214"/>
      <c r="U49" s="215"/>
      <c r="V49" s="214"/>
      <c r="W49" s="215"/>
      <c r="X49" s="214"/>
      <c r="Y49" s="215"/>
      <c r="Z49" s="214"/>
      <c r="AA49" s="215"/>
      <c r="AB49" s="214"/>
      <c r="AC49" s="215"/>
      <c r="AD49" s="214"/>
      <c r="AE49" s="215"/>
      <c r="AF49" s="214"/>
      <c r="AG49" s="215"/>
      <c r="AH49" s="214"/>
      <c r="AI49" s="215"/>
      <c r="AJ49" s="214"/>
      <c r="AK49" s="215"/>
      <c r="AL49" s="214"/>
      <c r="AM49" s="215"/>
      <c r="AN49" s="214"/>
      <c r="AO49" s="215"/>
      <c r="AP49" s="214"/>
      <c r="AQ49" s="215"/>
      <c r="AR49" s="214"/>
      <c r="AS49" s="215"/>
      <c r="AT49" s="214"/>
      <c r="AU49" s="215"/>
      <c r="AV49" s="214"/>
      <c r="AW49" s="215"/>
      <c r="AX49" s="214"/>
      <c r="AY49" s="215"/>
      <c r="AZ49" s="214"/>
      <c r="BA49" s="215"/>
      <c r="BB49" s="214"/>
      <c r="BC49" s="215"/>
      <c r="BD49" s="214"/>
      <c r="BE49" s="215"/>
      <c r="BF49" s="214"/>
      <c r="BG49" s="215"/>
      <c r="BH49" s="214"/>
      <c r="BI49" s="215"/>
      <c r="BJ49" s="214"/>
      <c r="BK49" s="215"/>
      <c r="BL49" s="214"/>
      <c r="BM49" s="215"/>
      <c r="BN49" s="214"/>
      <c r="BO49" s="215"/>
      <c r="BP49" s="214"/>
      <c r="BQ49" s="215"/>
      <c r="BR49" s="193"/>
    </row>
    <row r="50" spans="1:72" s="79" customFormat="1">
      <c r="A50" s="234"/>
      <c r="B50" s="188"/>
      <c r="C50" s="211"/>
      <c r="D50" s="214"/>
      <c r="E50" s="215"/>
      <c r="F50" s="214"/>
      <c r="G50" s="215"/>
      <c r="H50" s="214"/>
      <c r="I50" s="215"/>
      <c r="J50" s="214"/>
      <c r="K50" s="215"/>
      <c r="L50" s="214"/>
      <c r="M50" s="215"/>
      <c r="N50" s="214"/>
      <c r="O50" s="215"/>
      <c r="P50" s="214"/>
      <c r="Q50" s="215"/>
      <c r="R50" s="214"/>
      <c r="S50" s="215"/>
      <c r="T50" s="214"/>
      <c r="U50" s="215"/>
      <c r="V50" s="214"/>
      <c r="W50" s="215"/>
      <c r="X50" s="214"/>
      <c r="Y50" s="215"/>
      <c r="Z50" s="214"/>
      <c r="AA50" s="215"/>
      <c r="AB50" s="214"/>
      <c r="AC50" s="215"/>
      <c r="AD50" s="214"/>
      <c r="AE50" s="215"/>
      <c r="AF50" s="214"/>
      <c r="AG50" s="215"/>
      <c r="AH50" s="214"/>
      <c r="AI50" s="215"/>
      <c r="AJ50" s="214"/>
      <c r="AK50" s="215"/>
      <c r="AL50" s="214"/>
      <c r="AM50" s="215"/>
      <c r="AN50" s="214"/>
      <c r="AO50" s="215"/>
      <c r="AP50" s="214"/>
      <c r="AQ50" s="215"/>
      <c r="AR50" s="214"/>
      <c r="AS50" s="215"/>
      <c r="AT50" s="214"/>
      <c r="AU50" s="215"/>
      <c r="AV50" s="214"/>
      <c r="AW50" s="215"/>
      <c r="AX50" s="214"/>
      <c r="AY50" s="215"/>
      <c r="AZ50" s="214"/>
      <c r="BA50" s="215"/>
      <c r="BB50" s="214"/>
      <c r="BC50" s="215"/>
      <c r="BD50" s="214"/>
      <c r="BE50" s="215"/>
      <c r="BF50" s="214"/>
      <c r="BG50" s="215"/>
      <c r="BH50" s="214"/>
      <c r="BI50" s="215"/>
      <c r="BJ50" s="214"/>
      <c r="BK50" s="215"/>
      <c r="BL50" s="214"/>
      <c r="BM50" s="215"/>
      <c r="BN50" s="214"/>
      <c r="BO50" s="215"/>
      <c r="BP50" s="214"/>
      <c r="BQ50" s="215"/>
      <c r="BR50" s="193"/>
    </row>
    <row r="51" spans="1:72" s="79" customFormat="1">
      <c r="A51" s="234"/>
      <c r="B51" s="188"/>
      <c r="C51" s="211"/>
      <c r="D51" s="214"/>
      <c r="E51" s="215"/>
      <c r="F51" s="214"/>
      <c r="G51" s="215"/>
      <c r="H51" s="214"/>
      <c r="I51" s="215"/>
      <c r="J51" s="214"/>
      <c r="K51" s="215"/>
      <c r="L51" s="214"/>
      <c r="M51" s="215"/>
      <c r="N51" s="214"/>
      <c r="O51" s="215"/>
      <c r="P51" s="214"/>
      <c r="Q51" s="215"/>
      <c r="R51" s="214"/>
      <c r="S51" s="215"/>
      <c r="T51" s="214"/>
      <c r="U51" s="215"/>
      <c r="V51" s="214"/>
      <c r="W51" s="215"/>
      <c r="X51" s="214"/>
      <c r="Y51" s="215"/>
      <c r="Z51" s="214"/>
      <c r="AA51" s="215"/>
      <c r="AB51" s="214"/>
      <c r="AC51" s="215"/>
      <c r="AD51" s="214"/>
      <c r="AE51" s="215"/>
      <c r="AF51" s="214"/>
      <c r="AG51" s="215"/>
      <c r="AH51" s="214"/>
      <c r="AI51" s="215"/>
      <c r="AJ51" s="214"/>
      <c r="AK51" s="215"/>
      <c r="AL51" s="214"/>
      <c r="AM51" s="215"/>
      <c r="AN51" s="214"/>
      <c r="AO51" s="215"/>
      <c r="AP51" s="214"/>
      <c r="AQ51" s="215"/>
      <c r="AR51" s="214"/>
      <c r="AS51" s="215"/>
      <c r="AT51" s="214"/>
      <c r="AU51" s="215"/>
      <c r="AV51" s="214"/>
      <c r="AW51" s="215"/>
      <c r="AX51" s="214"/>
      <c r="AY51" s="215"/>
      <c r="AZ51" s="214"/>
      <c r="BA51" s="215"/>
      <c r="BB51" s="214"/>
      <c r="BC51" s="215"/>
      <c r="BD51" s="214"/>
      <c r="BE51" s="215"/>
      <c r="BF51" s="214"/>
      <c r="BG51" s="215"/>
      <c r="BH51" s="214"/>
      <c r="BI51" s="215"/>
      <c r="BJ51" s="214"/>
      <c r="BK51" s="215"/>
      <c r="BL51" s="214"/>
      <c r="BM51" s="215"/>
      <c r="BN51" s="214"/>
      <c r="BO51" s="215"/>
      <c r="BP51" s="214"/>
      <c r="BQ51" s="215"/>
      <c r="BR51" s="193"/>
    </row>
    <row r="52" spans="1:72" s="79" customFormat="1">
      <c r="A52" s="234"/>
      <c r="B52" s="188"/>
      <c r="C52" s="211"/>
      <c r="D52" s="214"/>
      <c r="E52" s="215"/>
      <c r="F52" s="214"/>
      <c r="G52" s="215"/>
      <c r="H52" s="214"/>
      <c r="I52" s="215"/>
      <c r="J52" s="214"/>
      <c r="K52" s="215"/>
      <c r="L52" s="214"/>
      <c r="M52" s="215"/>
      <c r="N52" s="214"/>
      <c r="O52" s="215"/>
      <c r="P52" s="214"/>
      <c r="Q52" s="215"/>
      <c r="R52" s="214"/>
      <c r="S52" s="215"/>
      <c r="T52" s="214"/>
      <c r="U52" s="215"/>
      <c r="V52" s="214"/>
      <c r="W52" s="215"/>
      <c r="X52" s="214"/>
      <c r="Y52" s="215"/>
      <c r="Z52" s="214"/>
      <c r="AA52" s="215"/>
      <c r="AB52" s="214"/>
      <c r="AC52" s="215"/>
      <c r="AD52" s="214"/>
      <c r="AE52" s="215"/>
      <c r="AF52" s="214"/>
      <c r="AG52" s="215"/>
      <c r="AH52" s="214"/>
      <c r="AI52" s="215"/>
      <c r="AJ52" s="214"/>
      <c r="AK52" s="215"/>
      <c r="AL52" s="214"/>
      <c r="AM52" s="215"/>
      <c r="AN52" s="214"/>
      <c r="AO52" s="215"/>
      <c r="AP52" s="214"/>
      <c r="AQ52" s="215"/>
      <c r="AR52" s="214"/>
      <c r="AS52" s="215"/>
      <c r="AT52" s="214"/>
      <c r="AU52" s="215"/>
      <c r="AV52" s="214"/>
      <c r="AW52" s="215"/>
      <c r="AX52" s="214"/>
      <c r="AY52" s="215"/>
      <c r="AZ52" s="214"/>
      <c r="BA52" s="215"/>
      <c r="BB52" s="214"/>
      <c r="BC52" s="215"/>
      <c r="BD52" s="214"/>
      <c r="BE52" s="215"/>
      <c r="BF52" s="214"/>
      <c r="BG52" s="215"/>
      <c r="BH52" s="214"/>
      <c r="BI52" s="215"/>
      <c r="BJ52" s="214"/>
      <c r="BK52" s="215"/>
      <c r="BL52" s="214"/>
      <c r="BM52" s="215"/>
      <c r="BN52" s="214"/>
      <c r="BO52" s="215"/>
      <c r="BP52" s="214"/>
      <c r="BQ52" s="215"/>
      <c r="BR52" s="193"/>
    </row>
    <row r="53" spans="1:72" s="79" customFormat="1">
      <c r="A53" s="234"/>
      <c r="B53" s="188"/>
      <c r="C53" s="211"/>
      <c r="D53" s="214"/>
      <c r="E53" s="215"/>
      <c r="F53" s="214"/>
      <c r="G53" s="215"/>
      <c r="H53" s="214"/>
      <c r="I53" s="215"/>
      <c r="J53" s="214"/>
      <c r="K53" s="215"/>
      <c r="L53" s="214"/>
      <c r="M53" s="215"/>
      <c r="N53" s="214"/>
      <c r="O53" s="215"/>
      <c r="P53" s="214"/>
      <c r="Q53" s="215"/>
      <c r="R53" s="214"/>
      <c r="S53" s="215"/>
      <c r="T53" s="214"/>
      <c r="U53" s="215"/>
      <c r="V53" s="214"/>
      <c r="W53" s="215"/>
      <c r="X53" s="214"/>
      <c r="Y53" s="215"/>
      <c r="Z53" s="214"/>
      <c r="AA53" s="215"/>
      <c r="AB53" s="214"/>
      <c r="AC53" s="215"/>
      <c r="AD53" s="214"/>
      <c r="AE53" s="215"/>
      <c r="AF53" s="214"/>
      <c r="AG53" s="215"/>
      <c r="AH53" s="214"/>
      <c r="AI53" s="215"/>
      <c r="AJ53" s="214"/>
      <c r="AK53" s="215"/>
      <c r="AL53" s="214"/>
      <c r="AM53" s="215"/>
      <c r="AN53" s="214"/>
      <c r="AO53" s="215"/>
      <c r="AP53" s="214"/>
      <c r="AQ53" s="215"/>
      <c r="AR53" s="214"/>
      <c r="AS53" s="215"/>
      <c r="AT53" s="214"/>
      <c r="AU53" s="215"/>
      <c r="AV53" s="214"/>
      <c r="AW53" s="215"/>
      <c r="AX53" s="214"/>
      <c r="AY53" s="215"/>
      <c r="AZ53" s="214"/>
      <c r="BA53" s="215"/>
      <c r="BB53" s="214"/>
      <c r="BC53" s="215"/>
      <c r="BD53" s="214"/>
      <c r="BE53" s="215"/>
      <c r="BF53" s="214"/>
      <c r="BG53" s="215"/>
      <c r="BH53" s="214"/>
      <c r="BI53" s="215"/>
      <c r="BJ53" s="214"/>
      <c r="BK53" s="215"/>
      <c r="BL53" s="214"/>
      <c r="BM53" s="215"/>
      <c r="BN53" s="214"/>
      <c r="BO53" s="215"/>
      <c r="BP53" s="214"/>
      <c r="BQ53" s="215"/>
      <c r="BR53" s="193"/>
    </row>
    <row r="54" spans="1:72" s="79" customFormat="1">
      <c r="A54" s="234"/>
      <c r="B54" s="188"/>
      <c r="C54" s="211"/>
      <c r="D54" s="214"/>
      <c r="E54" s="215"/>
      <c r="F54" s="214"/>
      <c r="G54" s="215"/>
      <c r="H54" s="214"/>
      <c r="I54" s="215"/>
      <c r="J54" s="214"/>
      <c r="K54" s="215"/>
      <c r="L54" s="214"/>
      <c r="M54" s="215"/>
      <c r="N54" s="214"/>
      <c r="O54" s="215"/>
      <c r="P54" s="214"/>
      <c r="Q54" s="215"/>
      <c r="R54" s="214"/>
      <c r="S54" s="215"/>
      <c r="T54" s="214"/>
      <c r="U54" s="215"/>
      <c r="V54" s="214"/>
      <c r="W54" s="215"/>
      <c r="X54" s="214"/>
      <c r="Y54" s="215"/>
      <c r="Z54" s="214"/>
      <c r="AA54" s="215"/>
      <c r="AB54" s="214"/>
      <c r="AC54" s="215"/>
      <c r="AD54" s="214"/>
      <c r="AE54" s="215"/>
      <c r="AF54" s="214"/>
      <c r="AG54" s="215"/>
      <c r="AH54" s="214"/>
      <c r="AI54" s="215"/>
      <c r="AJ54" s="214"/>
      <c r="AK54" s="215"/>
      <c r="AL54" s="214"/>
      <c r="AM54" s="215"/>
      <c r="AN54" s="214"/>
      <c r="AO54" s="215"/>
      <c r="AP54" s="214"/>
      <c r="AQ54" s="215"/>
      <c r="AR54" s="214"/>
      <c r="AS54" s="215"/>
      <c r="AT54" s="214"/>
      <c r="AU54" s="215"/>
      <c r="AV54" s="214"/>
      <c r="AW54" s="215"/>
      <c r="AX54" s="214"/>
      <c r="AY54" s="215"/>
      <c r="AZ54" s="214"/>
      <c r="BA54" s="215"/>
      <c r="BB54" s="214"/>
      <c r="BC54" s="215"/>
      <c r="BD54" s="214"/>
      <c r="BE54" s="215"/>
      <c r="BF54" s="214"/>
      <c r="BG54" s="215"/>
      <c r="BH54" s="214"/>
      <c r="BI54" s="215"/>
      <c r="BJ54" s="214"/>
      <c r="BK54" s="215"/>
      <c r="BL54" s="214"/>
      <c r="BM54" s="215"/>
      <c r="BN54" s="214"/>
      <c r="BO54" s="215"/>
      <c r="BP54" s="214"/>
      <c r="BQ54" s="215"/>
      <c r="BR54" s="193"/>
    </row>
    <row r="55" spans="1:72" s="79" customFormat="1">
      <c r="A55" s="234"/>
      <c r="B55" s="188"/>
      <c r="C55" s="211"/>
      <c r="D55" s="214"/>
      <c r="E55" s="215"/>
      <c r="F55" s="214"/>
      <c r="G55" s="215"/>
      <c r="H55" s="214"/>
      <c r="I55" s="215"/>
      <c r="J55" s="214"/>
      <c r="K55" s="215"/>
      <c r="L55" s="214"/>
      <c r="M55" s="215"/>
      <c r="N55" s="214"/>
      <c r="O55" s="215"/>
      <c r="P55" s="214"/>
      <c r="Q55" s="215"/>
      <c r="R55" s="214"/>
      <c r="S55" s="215"/>
      <c r="T55" s="214"/>
      <c r="U55" s="215"/>
      <c r="V55" s="214"/>
      <c r="W55" s="215"/>
      <c r="X55" s="214"/>
      <c r="Y55" s="215"/>
      <c r="Z55" s="214"/>
      <c r="AA55" s="215"/>
      <c r="AB55" s="214"/>
      <c r="AC55" s="215"/>
      <c r="AD55" s="214"/>
      <c r="AE55" s="215"/>
      <c r="AF55" s="214"/>
      <c r="AG55" s="215"/>
      <c r="AH55" s="214"/>
      <c r="AI55" s="215"/>
      <c r="AJ55" s="214"/>
      <c r="AK55" s="215"/>
      <c r="AL55" s="214"/>
      <c r="AM55" s="215"/>
      <c r="AN55" s="214"/>
      <c r="AO55" s="215"/>
      <c r="AP55" s="214"/>
      <c r="AQ55" s="215"/>
      <c r="AR55" s="214"/>
      <c r="AS55" s="215"/>
      <c r="AT55" s="214"/>
      <c r="AU55" s="215"/>
      <c r="AV55" s="214"/>
      <c r="AW55" s="215"/>
      <c r="AX55" s="214"/>
      <c r="AY55" s="215"/>
      <c r="AZ55" s="214"/>
      <c r="BA55" s="215"/>
      <c r="BB55" s="214"/>
      <c r="BC55" s="215"/>
      <c r="BD55" s="214"/>
      <c r="BE55" s="215"/>
      <c r="BF55" s="214"/>
      <c r="BG55" s="215"/>
      <c r="BH55" s="214"/>
      <c r="BI55" s="215"/>
      <c r="BJ55" s="214"/>
      <c r="BK55" s="215"/>
      <c r="BL55" s="214"/>
      <c r="BM55" s="215"/>
      <c r="BN55" s="214"/>
      <c r="BO55" s="215"/>
      <c r="BP55" s="214"/>
      <c r="BQ55" s="215"/>
      <c r="BR55" s="193"/>
    </row>
    <row r="56" spans="1:72" s="79" customFormat="1">
      <c r="A56" s="234"/>
      <c r="B56" s="188"/>
      <c r="C56" s="211"/>
      <c r="D56" s="214"/>
      <c r="E56" s="215"/>
      <c r="F56" s="214"/>
      <c r="G56" s="215"/>
      <c r="H56" s="214"/>
      <c r="I56" s="215"/>
      <c r="J56" s="214"/>
      <c r="K56" s="215"/>
      <c r="L56" s="214"/>
      <c r="M56" s="215"/>
      <c r="N56" s="214"/>
      <c r="O56" s="215"/>
      <c r="P56" s="214"/>
      <c r="Q56" s="215"/>
      <c r="R56" s="214"/>
      <c r="S56" s="215"/>
      <c r="T56" s="214"/>
      <c r="U56" s="215"/>
      <c r="V56" s="214"/>
      <c r="W56" s="215"/>
      <c r="X56" s="214"/>
      <c r="Y56" s="215"/>
      <c r="Z56" s="214"/>
      <c r="AA56" s="215"/>
      <c r="AB56" s="214"/>
      <c r="AC56" s="215"/>
      <c r="AD56" s="214"/>
      <c r="AE56" s="215"/>
      <c r="AF56" s="214"/>
      <c r="AG56" s="215"/>
      <c r="AH56" s="214"/>
      <c r="AI56" s="215"/>
      <c r="AJ56" s="214"/>
      <c r="AK56" s="215"/>
      <c r="AL56" s="214"/>
      <c r="AM56" s="215"/>
      <c r="AN56" s="214"/>
      <c r="AO56" s="215"/>
      <c r="AP56" s="214"/>
      <c r="AQ56" s="215"/>
      <c r="AR56" s="214"/>
      <c r="AS56" s="215"/>
      <c r="AT56" s="214"/>
      <c r="AU56" s="215"/>
      <c r="AV56" s="214"/>
      <c r="AW56" s="215"/>
      <c r="AX56" s="214"/>
      <c r="AY56" s="215"/>
      <c r="AZ56" s="214"/>
      <c r="BA56" s="215"/>
      <c r="BB56" s="214"/>
      <c r="BC56" s="215"/>
      <c r="BD56" s="214"/>
      <c r="BE56" s="215"/>
      <c r="BF56" s="214"/>
      <c r="BG56" s="215"/>
      <c r="BH56" s="214"/>
      <c r="BI56" s="215"/>
      <c r="BJ56" s="214"/>
      <c r="BK56" s="215"/>
      <c r="BL56" s="214"/>
      <c r="BM56" s="215"/>
      <c r="BN56" s="214"/>
      <c r="BO56" s="215"/>
      <c r="BP56" s="214"/>
      <c r="BQ56" s="215"/>
      <c r="BR56" s="193"/>
    </row>
    <row r="57" spans="1:72" s="79" customFormat="1">
      <c r="A57" s="234"/>
      <c r="B57" s="188"/>
      <c r="C57" s="211"/>
      <c r="D57" s="214"/>
      <c r="E57" s="215"/>
      <c r="F57" s="214"/>
      <c r="G57" s="215"/>
      <c r="H57" s="214"/>
      <c r="I57" s="215"/>
      <c r="J57" s="214"/>
      <c r="K57" s="215"/>
      <c r="L57" s="214"/>
      <c r="M57" s="215"/>
      <c r="N57" s="214"/>
      <c r="O57" s="215"/>
      <c r="P57" s="214"/>
      <c r="Q57" s="215"/>
      <c r="R57" s="214"/>
      <c r="S57" s="215"/>
      <c r="T57" s="214"/>
      <c r="U57" s="215"/>
      <c r="V57" s="214"/>
      <c r="W57" s="215"/>
      <c r="X57" s="214"/>
      <c r="Y57" s="215"/>
      <c r="Z57" s="214"/>
      <c r="AA57" s="215"/>
      <c r="AB57" s="214"/>
      <c r="AC57" s="215"/>
      <c r="AD57" s="214"/>
      <c r="AE57" s="215"/>
      <c r="AF57" s="214"/>
      <c r="AG57" s="215"/>
      <c r="AH57" s="214"/>
      <c r="AI57" s="215"/>
      <c r="AJ57" s="214"/>
      <c r="AK57" s="215"/>
      <c r="AL57" s="214"/>
      <c r="AM57" s="215"/>
      <c r="AN57" s="214"/>
      <c r="AO57" s="215"/>
      <c r="AP57" s="214"/>
      <c r="AQ57" s="215"/>
      <c r="AR57" s="214"/>
      <c r="AS57" s="215"/>
      <c r="AT57" s="214"/>
      <c r="AU57" s="215"/>
      <c r="AV57" s="214"/>
      <c r="AW57" s="215"/>
      <c r="AX57" s="214"/>
      <c r="AY57" s="215"/>
      <c r="AZ57" s="214"/>
      <c r="BA57" s="215"/>
      <c r="BB57" s="214"/>
      <c r="BC57" s="215"/>
      <c r="BD57" s="214"/>
      <c r="BE57" s="215"/>
      <c r="BF57" s="214"/>
      <c r="BG57" s="215"/>
      <c r="BH57" s="214"/>
      <c r="BI57" s="215"/>
      <c r="BJ57" s="214"/>
      <c r="BK57" s="215"/>
      <c r="BL57" s="214"/>
      <c r="BM57" s="215"/>
      <c r="BN57" s="214"/>
      <c r="BO57" s="215"/>
      <c r="BP57" s="214"/>
      <c r="BQ57" s="215"/>
      <c r="BR57" s="193"/>
    </row>
    <row r="58" spans="1:72" s="79" customFormat="1">
      <c r="A58" s="234"/>
      <c r="B58" s="188"/>
      <c r="C58" s="211"/>
      <c r="D58" s="214"/>
      <c r="E58" s="215"/>
      <c r="F58" s="214"/>
      <c r="G58" s="215"/>
      <c r="H58" s="214"/>
      <c r="I58" s="215"/>
      <c r="J58" s="214"/>
      <c r="K58" s="215"/>
      <c r="L58" s="214"/>
      <c r="M58" s="215"/>
      <c r="N58" s="214"/>
      <c r="O58" s="215"/>
      <c r="P58" s="214"/>
      <c r="Q58" s="215"/>
      <c r="R58" s="214"/>
      <c r="S58" s="215"/>
      <c r="T58" s="214"/>
      <c r="U58" s="215"/>
      <c r="V58" s="214"/>
      <c r="W58" s="215"/>
      <c r="X58" s="214"/>
      <c r="Y58" s="215"/>
      <c r="Z58" s="214"/>
      <c r="AA58" s="215"/>
      <c r="AB58" s="214"/>
      <c r="AC58" s="215"/>
      <c r="AD58" s="214"/>
      <c r="AE58" s="215"/>
      <c r="AF58" s="214"/>
      <c r="AG58" s="215"/>
      <c r="AH58" s="214"/>
      <c r="AI58" s="215"/>
      <c r="AJ58" s="214"/>
      <c r="AK58" s="215"/>
      <c r="AL58" s="214"/>
      <c r="AM58" s="215"/>
      <c r="AN58" s="214"/>
      <c r="AO58" s="215"/>
      <c r="AP58" s="214"/>
      <c r="AQ58" s="215"/>
      <c r="AR58" s="214"/>
      <c r="AS58" s="215"/>
      <c r="AT58" s="214"/>
      <c r="AU58" s="215"/>
      <c r="AV58" s="214"/>
      <c r="AW58" s="215"/>
      <c r="AX58" s="214"/>
      <c r="AY58" s="215"/>
      <c r="AZ58" s="214"/>
      <c r="BA58" s="215"/>
      <c r="BB58" s="214"/>
      <c r="BC58" s="215"/>
      <c r="BD58" s="214"/>
      <c r="BE58" s="215"/>
      <c r="BF58" s="214"/>
      <c r="BG58" s="215"/>
      <c r="BH58" s="214"/>
      <c r="BI58" s="215"/>
      <c r="BJ58" s="214"/>
      <c r="BK58" s="215"/>
      <c r="BL58" s="214"/>
      <c r="BM58" s="215"/>
      <c r="BN58" s="214"/>
      <c r="BO58" s="215"/>
      <c r="BP58" s="214"/>
      <c r="BQ58" s="215"/>
      <c r="BR58" s="193"/>
    </row>
    <row r="59" spans="1:72" s="79" customFormat="1">
      <c r="A59" s="234"/>
      <c r="B59" s="188"/>
      <c r="C59" s="211"/>
      <c r="D59" s="214"/>
      <c r="E59" s="215"/>
      <c r="F59" s="214"/>
      <c r="G59" s="215"/>
      <c r="H59" s="214"/>
      <c r="I59" s="215"/>
      <c r="J59" s="214"/>
      <c r="K59" s="215"/>
      <c r="L59" s="214"/>
      <c r="M59" s="215"/>
      <c r="N59" s="214"/>
      <c r="O59" s="215"/>
      <c r="P59" s="214"/>
      <c r="Q59" s="215"/>
      <c r="R59" s="214"/>
      <c r="S59" s="215"/>
      <c r="T59" s="214"/>
      <c r="U59" s="215"/>
      <c r="V59" s="214"/>
      <c r="W59" s="215"/>
      <c r="X59" s="214"/>
      <c r="Y59" s="215"/>
      <c r="Z59" s="214"/>
      <c r="AA59" s="215"/>
      <c r="AB59" s="214"/>
      <c r="AC59" s="215"/>
      <c r="AD59" s="214"/>
      <c r="AE59" s="215"/>
      <c r="AF59" s="214"/>
      <c r="AG59" s="215"/>
      <c r="AH59" s="214"/>
      <c r="AI59" s="215"/>
      <c r="AJ59" s="214"/>
      <c r="AK59" s="215"/>
      <c r="AL59" s="214"/>
      <c r="AM59" s="215"/>
      <c r="AN59" s="214"/>
      <c r="AO59" s="215"/>
      <c r="AP59" s="214"/>
      <c r="AQ59" s="215"/>
      <c r="AR59" s="214"/>
      <c r="AS59" s="215"/>
      <c r="AT59" s="214"/>
      <c r="AU59" s="215"/>
      <c r="AV59" s="214"/>
      <c r="AW59" s="215"/>
      <c r="AX59" s="214"/>
      <c r="AY59" s="215"/>
      <c r="AZ59" s="214"/>
      <c r="BA59" s="215"/>
      <c r="BB59" s="214"/>
      <c r="BC59" s="215"/>
      <c r="BD59" s="214"/>
      <c r="BE59" s="215"/>
      <c r="BF59" s="214"/>
      <c r="BG59" s="215"/>
      <c r="BH59" s="214"/>
      <c r="BI59" s="215"/>
      <c r="BJ59" s="214"/>
      <c r="BK59" s="215"/>
      <c r="BL59" s="214"/>
      <c r="BM59" s="215"/>
      <c r="BN59" s="214"/>
      <c r="BO59" s="215"/>
      <c r="BP59" s="214"/>
      <c r="BQ59" s="215"/>
      <c r="BR59" s="193"/>
    </row>
    <row r="60" spans="1:72" s="79" customFormat="1">
      <c r="A60" s="234"/>
      <c r="B60" s="188"/>
      <c r="C60" s="211"/>
      <c r="D60" s="214"/>
      <c r="E60" s="215"/>
      <c r="F60" s="214"/>
      <c r="G60" s="215"/>
      <c r="H60" s="214"/>
      <c r="I60" s="215"/>
      <c r="J60" s="214"/>
      <c r="K60" s="215"/>
      <c r="L60" s="214"/>
      <c r="M60" s="215"/>
      <c r="N60" s="214"/>
      <c r="O60" s="215"/>
      <c r="P60" s="214"/>
      <c r="Q60" s="215"/>
      <c r="R60" s="214"/>
      <c r="S60" s="215"/>
      <c r="T60" s="214"/>
      <c r="U60" s="215"/>
      <c r="V60" s="214"/>
      <c r="W60" s="215"/>
      <c r="X60" s="214"/>
      <c r="Y60" s="215"/>
      <c r="Z60" s="214"/>
      <c r="AA60" s="215"/>
      <c r="AB60" s="214"/>
      <c r="AC60" s="215"/>
      <c r="AD60" s="214"/>
      <c r="AE60" s="215"/>
      <c r="AF60" s="214"/>
      <c r="AG60" s="215"/>
      <c r="AH60" s="214"/>
      <c r="AI60" s="215"/>
      <c r="AJ60" s="214"/>
      <c r="AK60" s="215"/>
      <c r="AL60" s="214"/>
      <c r="AM60" s="215"/>
      <c r="AN60" s="214"/>
      <c r="AO60" s="215"/>
      <c r="AP60" s="214"/>
      <c r="AQ60" s="215"/>
      <c r="AR60" s="214"/>
      <c r="AS60" s="215"/>
      <c r="AT60" s="214"/>
      <c r="AU60" s="215"/>
      <c r="AV60" s="214"/>
      <c r="AW60" s="215"/>
      <c r="AX60" s="214"/>
      <c r="AY60" s="215"/>
      <c r="AZ60" s="214"/>
      <c r="BA60" s="215"/>
      <c r="BB60" s="214"/>
      <c r="BC60" s="215"/>
      <c r="BD60" s="214"/>
      <c r="BE60" s="215"/>
      <c r="BF60" s="214"/>
      <c r="BG60" s="215"/>
      <c r="BH60" s="214"/>
      <c r="BI60" s="215"/>
      <c r="BJ60" s="214"/>
      <c r="BK60" s="215"/>
      <c r="BL60" s="214"/>
      <c r="BM60" s="215"/>
      <c r="BN60" s="214"/>
      <c r="BO60" s="215"/>
      <c r="BP60" s="214"/>
      <c r="BQ60" s="215"/>
      <c r="BR60" s="193"/>
    </row>
    <row r="61" spans="1:72" s="79" customFormat="1">
      <c r="A61" s="234"/>
      <c r="B61" s="188"/>
      <c r="C61" s="186"/>
      <c r="D61" s="214"/>
      <c r="E61" s="215"/>
      <c r="F61" s="214"/>
      <c r="G61" s="215"/>
      <c r="H61" s="214"/>
      <c r="I61" s="215"/>
      <c r="J61" s="214"/>
      <c r="K61" s="215"/>
      <c r="L61" s="214"/>
      <c r="M61" s="215"/>
      <c r="N61" s="214"/>
      <c r="O61" s="215"/>
      <c r="P61" s="214"/>
      <c r="Q61" s="215"/>
      <c r="R61" s="214"/>
      <c r="S61" s="215"/>
      <c r="T61" s="214"/>
      <c r="U61" s="215"/>
      <c r="V61" s="214"/>
      <c r="W61" s="215"/>
      <c r="X61" s="214"/>
      <c r="Y61" s="215"/>
      <c r="Z61" s="214"/>
      <c r="AA61" s="215"/>
      <c r="AB61" s="214"/>
      <c r="AC61" s="215"/>
      <c r="AD61" s="214"/>
      <c r="AE61" s="215"/>
      <c r="AF61" s="214"/>
      <c r="AG61" s="215"/>
      <c r="AH61" s="214"/>
      <c r="AI61" s="215"/>
      <c r="AJ61" s="214"/>
      <c r="AK61" s="215"/>
      <c r="AL61" s="214"/>
      <c r="AM61" s="215"/>
      <c r="AN61" s="214"/>
      <c r="AO61" s="215"/>
      <c r="AP61" s="214"/>
      <c r="AQ61" s="215"/>
      <c r="AR61" s="214"/>
      <c r="AS61" s="215"/>
      <c r="AT61" s="214"/>
      <c r="AU61" s="215"/>
      <c r="AV61" s="214"/>
      <c r="AW61" s="215"/>
      <c r="AX61" s="214"/>
      <c r="AY61" s="215"/>
      <c r="AZ61" s="214"/>
      <c r="BA61" s="215"/>
      <c r="BB61" s="214"/>
      <c r="BC61" s="215"/>
      <c r="BD61" s="214"/>
      <c r="BE61" s="215"/>
      <c r="BF61" s="214"/>
      <c r="BG61" s="215"/>
      <c r="BH61" s="214"/>
      <c r="BI61" s="215"/>
      <c r="BJ61" s="214"/>
      <c r="BK61" s="215"/>
      <c r="BL61" s="214"/>
      <c r="BM61" s="215"/>
      <c r="BN61" s="214"/>
      <c r="BO61" s="215"/>
      <c r="BP61" s="214"/>
      <c r="BQ61" s="215"/>
      <c r="BR61" s="193">
        <f t="shared" si="0"/>
        <v>0</v>
      </c>
    </row>
    <row r="62" spans="1:72" s="79" customFormat="1">
      <c r="A62" s="234"/>
      <c r="B62" s="188"/>
      <c r="C62" s="211"/>
      <c r="D62" s="214"/>
      <c r="E62" s="215"/>
      <c r="F62" s="214"/>
      <c r="G62" s="215"/>
      <c r="H62" s="214"/>
      <c r="I62" s="215"/>
      <c r="J62" s="214"/>
      <c r="K62" s="215"/>
      <c r="L62" s="214"/>
      <c r="M62" s="215"/>
      <c r="N62" s="214"/>
      <c r="O62" s="215"/>
      <c r="P62" s="214"/>
      <c r="Q62" s="215"/>
      <c r="R62" s="214"/>
      <c r="S62" s="215"/>
      <c r="T62" s="214"/>
      <c r="U62" s="215"/>
      <c r="V62" s="214"/>
      <c r="W62" s="215"/>
      <c r="X62" s="214"/>
      <c r="Y62" s="215"/>
      <c r="Z62" s="214"/>
      <c r="AA62" s="215"/>
      <c r="AB62" s="214"/>
      <c r="AC62" s="215"/>
      <c r="AD62" s="214"/>
      <c r="AE62" s="215"/>
      <c r="AF62" s="214"/>
      <c r="AG62" s="215"/>
      <c r="AH62" s="214"/>
      <c r="AI62" s="215"/>
      <c r="AJ62" s="214"/>
      <c r="AK62" s="215"/>
      <c r="AL62" s="214"/>
      <c r="AM62" s="215"/>
      <c r="AN62" s="214"/>
      <c r="AO62" s="215"/>
      <c r="AP62" s="214"/>
      <c r="AQ62" s="215"/>
      <c r="AR62" s="214"/>
      <c r="AS62" s="215"/>
      <c r="AT62" s="214"/>
      <c r="AU62" s="215"/>
      <c r="AV62" s="214"/>
      <c r="AW62" s="215"/>
      <c r="AX62" s="214"/>
      <c r="AY62" s="215"/>
      <c r="AZ62" s="214"/>
      <c r="BA62" s="215"/>
      <c r="BB62" s="214"/>
      <c r="BC62" s="215"/>
      <c r="BD62" s="214"/>
      <c r="BE62" s="215"/>
      <c r="BF62" s="214"/>
      <c r="BG62" s="215"/>
      <c r="BH62" s="214"/>
      <c r="BI62" s="215"/>
      <c r="BJ62" s="214"/>
      <c r="BK62" s="215"/>
      <c r="BL62" s="214"/>
      <c r="BM62" s="215"/>
      <c r="BN62" s="214"/>
      <c r="BO62" s="215"/>
      <c r="BP62" s="214"/>
      <c r="BQ62" s="215"/>
      <c r="BR62" s="193">
        <f t="shared" si="0"/>
        <v>0</v>
      </c>
    </row>
    <row r="63" spans="1:72" s="79" customFormat="1">
      <c r="A63" s="234"/>
      <c r="B63" s="188"/>
      <c r="C63" s="211"/>
      <c r="D63" s="214"/>
      <c r="E63" s="215"/>
      <c r="F63" s="214"/>
      <c r="G63" s="215"/>
      <c r="H63" s="214"/>
      <c r="I63" s="215"/>
      <c r="J63" s="214"/>
      <c r="K63" s="215"/>
      <c r="L63" s="214"/>
      <c r="M63" s="215"/>
      <c r="N63" s="214"/>
      <c r="O63" s="215"/>
      <c r="P63" s="214"/>
      <c r="Q63" s="215"/>
      <c r="R63" s="214"/>
      <c r="S63" s="215"/>
      <c r="T63" s="214"/>
      <c r="U63" s="215"/>
      <c r="V63" s="214"/>
      <c r="W63" s="215"/>
      <c r="X63" s="214"/>
      <c r="Y63" s="215"/>
      <c r="Z63" s="214"/>
      <c r="AA63" s="215"/>
      <c r="AB63" s="214"/>
      <c r="AC63" s="215"/>
      <c r="AD63" s="214"/>
      <c r="AE63" s="215"/>
      <c r="AF63" s="214"/>
      <c r="AG63" s="215"/>
      <c r="AH63" s="214"/>
      <c r="AI63" s="215"/>
      <c r="AJ63" s="214"/>
      <c r="AK63" s="215"/>
      <c r="AL63" s="214"/>
      <c r="AM63" s="215"/>
      <c r="AN63" s="214"/>
      <c r="AO63" s="215"/>
      <c r="AP63" s="214"/>
      <c r="AQ63" s="215"/>
      <c r="AR63" s="214"/>
      <c r="AS63" s="215"/>
      <c r="AT63" s="214"/>
      <c r="AU63" s="215"/>
      <c r="AV63" s="214"/>
      <c r="AW63" s="215"/>
      <c r="AX63" s="214"/>
      <c r="AY63" s="215"/>
      <c r="AZ63" s="214"/>
      <c r="BA63" s="215"/>
      <c r="BB63" s="214"/>
      <c r="BC63" s="215"/>
      <c r="BD63" s="214"/>
      <c r="BE63" s="215"/>
      <c r="BF63" s="214"/>
      <c r="BG63" s="215"/>
      <c r="BH63" s="214"/>
      <c r="BI63" s="215"/>
      <c r="BJ63" s="214"/>
      <c r="BK63" s="215"/>
      <c r="BL63" s="214"/>
      <c r="BM63" s="215"/>
      <c r="BN63" s="214"/>
      <c r="BO63" s="215"/>
      <c r="BP63" s="214"/>
      <c r="BQ63" s="215"/>
      <c r="BR63" s="193">
        <f t="shared" si="0"/>
        <v>0</v>
      </c>
      <c r="BS63" s="194"/>
      <c r="BT63" s="194"/>
    </row>
    <row r="64" spans="1:72" s="79" customFormat="1">
      <c r="A64" s="234"/>
      <c r="B64" s="188"/>
      <c r="C64" s="211"/>
      <c r="D64" s="214"/>
      <c r="E64" s="215"/>
      <c r="F64" s="214"/>
      <c r="G64" s="215"/>
      <c r="H64" s="214"/>
      <c r="I64" s="215"/>
      <c r="J64" s="214"/>
      <c r="K64" s="215"/>
      <c r="L64" s="214"/>
      <c r="M64" s="215"/>
      <c r="N64" s="214"/>
      <c r="O64" s="215"/>
      <c r="P64" s="214"/>
      <c r="Q64" s="215"/>
      <c r="R64" s="214"/>
      <c r="S64" s="215"/>
      <c r="T64" s="214"/>
      <c r="U64" s="215"/>
      <c r="V64" s="214"/>
      <c r="W64" s="215"/>
      <c r="X64" s="214"/>
      <c r="Y64" s="215"/>
      <c r="Z64" s="214"/>
      <c r="AA64" s="215"/>
      <c r="AB64" s="214"/>
      <c r="AC64" s="215"/>
      <c r="AD64" s="214"/>
      <c r="AE64" s="215"/>
      <c r="AF64" s="214"/>
      <c r="AG64" s="215"/>
      <c r="AH64" s="214"/>
      <c r="AI64" s="215"/>
      <c r="AJ64" s="214"/>
      <c r="AK64" s="215"/>
      <c r="AL64" s="214"/>
      <c r="AM64" s="215"/>
      <c r="AN64" s="214"/>
      <c r="AO64" s="215"/>
      <c r="AP64" s="214"/>
      <c r="AQ64" s="215"/>
      <c r="AR64" s="214"/>
      <c r="AS64" s="215"/>
      <c r="AT64" s="214"/>
      <c r="AU64" s="215"/>
      <c r="AV64" s="214"/>
      <c r="AW64" s="215"/>
      <c r="AX64" s="214"/>
      <c r="AY64" s="215"/>
      <c r="AZ64" s="214"/>
      <c r="BA64" s="215"/>
      <c r="BB64" s="214"/>
      <c r="BC64" s="215"/>
      <c r="BD64" s="214"/>
      <c r="BE64" s="215"/>
      <c r="BF64" s="214"/>
      <c r="BG64" s="215"/>
      <c r="BH64" s="214"/>
      <c r="BI64" s="215"/>
      <c r="BJ64" s="214"/>
      <c r="BK64" s="215"/>
      <c r="BL64" s="214"/>
      <c r="BM64" s="215"/>
      <c r="BN64" s="214"/>
      <c r="BO64" s="215"/>
      <c r="BP64" s="214"/>
      <c r="BQ64" s="215"/>
      <c r="BR64" s="193">
        <f t="shared" si="0"/>
        <v>0</v>
      </c>
    </row>
    <row r="65" spans="1:71" s="79" customFormat="1">
      <c r="A65" s="234"/>
      <c r="B65" s="188"/>
      <c r="C65" s="211"/>
      <c r="D65" s="214"/>
      <c r="E65" s="215"/>
      <c r="F65" s="214"/>
      <c r="G65" s="215"/>
      <c r="H65" s="214"/>
      <c r="I65" s="215"/>
      <c r="J65" s="214"/>
      <c r="K65" s="215"/>
      <c r="L65" s="214"/>
      <c r="M65" s="215"/>
      <c r="N65" s="214"/>
      <c r="O65" s="215"/>
      <c r="P65" s="214"/>
      <c r="Q65" s="215"/>
      <c r="R65" s="214"/>
      <c r="S65" s="215"/>
      <c r="T65" s="214"/>
      <c r="U65" s="215"/>
      <c r="V65" s="214"/>
      <c r="W65" s="215"/>
      <c r="X65" s="214"/>
      <c r="Y65" s="215"/>
      <c r="Z65" s="214"/>
      <c r="AA65" s="215"/>
      <c r="AB65" s="214"/>
      <c r="AC65" s="215"/>
      <c r="AD65" s="214"/>
      <c r="AE65" s="215"/>
      <c r="AF65" s="214"/>
      <c r="AG65" s="215"/>
      <c r="AH65" s="214"/>
      <c r="AI65" s="215"/>
      <c r="AJ65" s="214"/>
      <c r="AK65" s="215"/>
      <c r="AL65" s="214"/>
      <c r="AM65" s="215"/>
      <c r="AN65" s="214"/>
      <c r="AO65" s="215"/>
      <c r="AP65" s="214"/>
      <c r="AQ65" s="215"/>
      <c r="AR65" s="214"/>
      <c r="AS65" s="215"/>
      <c r="AT65" s="214"/>
      <c r="AU65" s="215"/>
      <c r="AV65" s="214"/>
      <c r="AW65" s="215"/>
      <c r="AX65" s="214"/>
      <c r="AY65" s="215"/>
      <c r="AZ65" s="214"/>
      <c r="BA65" s="215"/>
      <c r="BB65" s="214"/>
      <c r="BC65" s="215"/>
      <c r="BD65" s="214"/>
      <c r="BE65" s="215"/>
      <c r="BF65" s="214"/>
      <c r="BG65" s="215"/>
      <c r="BH65" s="214"/>
      <c r="BI65" s="215"/>
      <c r="BJ65" s="214"/>
      <c r="BK65" s="215"/>
      <c r="BL65" s="214"/>
      <c r="BM65" s="215"/>
      <c r="BN65" s="214"/>
      <c r="BO65" s="215"/>
      <c r="BP65" s="214"/>
      <c r="BQ65" s="215"/>
      <c r="BR65" s="193">
        <f t="shared" si="0"/>
        <v>0</v>
      </c>
    </row>
    <row r="66" spans="1:71" s="79" customFormat="1">
      <c r="A66" s="234"/>
      <c r="B66" s="188"/>
      <c r="C66" s="211"/>
      <c r="D66" s="214"/>
      <c r="E66" s="215"/>
      <c r="F66" s="214"/>
      <c r="G66" s="215"/>
      <c r="H66" s="214"/>
      <c r="I66" s="215"/>
      <c r="J66" s="214"/>
      <c r="K66" s="215"/>
      <c r="L66" s="214"/>
      <c r="M66" s="215"/>
      <c r="N66" s="214"/>
      <c r="O66" s="215"/>
      <c r="P66" s="214"/>
      <c r="Q66" s="215"/>
      <c r="R66" s="214"/>
      <c r="S66" s="215"/>
      <c r="T66" s="214"/>
      <c r="U66" s="215"/>
      <c r="V66" s="214"/>
      <c r="W66" s="215"/>
      <c r="X66" s="214"/>
      <c r="Y66" s="215"/>
      <c r="Z66" s="214"/>
      <c r="AA66" s="215"/>
      <c r="AB66" s="214"/>
      <c r="AC66" s="215"/>
      <c r="AD66" s="214"/>
      <c r="AE66" s="215"/>
      <c r="AF66" s="214"/>
      <c r="AG66" s="215"/>
      <c r="AH66" s="214"/>
      <c r="AI66" s="215"/>
      <c r="AJ66" s="214"/>
      <c r="AK66" s="215"/>
      <c r="AL66" s="214"/>
      <c r="AM66" s="215"/>
      <c r="AN66" s="214"/>
      <c r="AO66" s="215"/>
      <c r="AP66" s="214"/>
      <c r="AQ66" s="215"/>
      <c r="AR66" s="214"/>
      <c r="AS66" s="215"/>
      <c r="AT66" s="214"/>
      <c r="AU66" s="215"/>
      <c r="AV66" s="214"/>
      <c r="AW66" s="215"/>
      <c r="AX66" s="214"/>
      <c r="AY66" s="215"/>
      <c r="AZ66" s="214"/>
      <c r="BA66" s="215"/>
      <c r="BB66" s="214"/>
      <c r="BC66" s="215"/>
      <c r="BD66" s="214"/>
      <c r="BE66" s="215"/>
      <c r="BF66" s="214"/>
      <c r="BG66" s="215"/>
      <c r="BH66" s="214"/>
      <c r="BI66" s="215"/>
      <c r="BJ66" s="214"/>
      <c r="BK66" s="215"/>
      <c r="BL66" s="214"/>
      <c r="BM66" s="215"/>
      <c r="BN66" s="214"/>
      <c r="BO66" s="215"/>
      <c r="BP66" s="214"/>
      <c r="BQ66" s="215"/>
      <c r="BR66" s="193">
        <f t="shared" si="0"/>
        <v>0</v>
      </c>
    </row>
    <row r="67" spans="1:71" s="79" customFormat="1">
      <c r="A67" s="234"/>
      <c r="B67" s="188"/>
      <c r="C67" s="123"/>
      <c r="D67" s="214"/>
      <c r="E67" s="215"/>
      <c r="F67" s="214"/>
      <c r="G67" s="215"/>
      <c r="H67" s="214"/>
      <c r="I67" s="215"/>
      <c r="J67" s="214"/>
      <c r="K67" s="215"/>
      <c r="L67" s="214"/>
      <c r="M67" s="215"/>
      <c r="N67" s="214"/>
      <c r="O67" s="215"/>
      <c r="P67" s="214"/>
      <c r="Q67" s="215"/>
      <c r="R67" s="214"/>
      <c r="S67" s="215"/>
      <c r="T67" s="214"/>
      <c r="U67" s="215"/>
      <c r="V67" s="214"/>
      <c r="W67" s="215"/>
      <c r="X67" s="214"/>
      <c r="Y67" s="215"/>
      <c r="Z67" s="214"/>
      <c r="AA67" s="215"/>
      <c r="AB67" s="214"/>
      <c r="AC67" s="215"/>
      <c r="AD67" s="214"/>
      <c r="AE67" s="215"/>
      <c r="AF67" s="214"/>
      <c r="AG67" s="215"/>
      <c r="AH67" s="214"/>
      <c r="AI67" s="215"/>
      <c r="AJ67" s="214"/>
      <c r="AK67" s="215"/>
      <c r="AL67" s="214"/>
      <c r="AM67" s="215"/>
      <c r="AN67" s="214"/>
      <c r="AO67" s="215"/>
      <c r="AP67" s="214"/>
      <c r="AQ67" s="215"/>
      <c r="AR67" s="214"/>
      <c r="AS67" s="215"/>
      <c r="AT67" s="214"/>
      <c r="AU67" s="215"/>
      <c r="AV67" s="214"/>
      <c r="AW67" s="215"/>
      <c r="AX67" s="214"/>
      <c r="AY67" s="215"/>
      <c r="AZ67" s="214"/>
      <c r="BA67" s="215"/>
      <c r="BB67" s="214"/>
      <c r="BC67" s="215"/>
      <c r="BD67" s="214"/>
      <c r="BE67" s="215"/>
      <c r="BF67" s="214"/>
      <c r="BG67" s="215"/>
      <c r="BH67" s="214"/>
      <c r="BI67" s="215"/>
      <c r="BJ67" s="214"/>
      <c r="BK67" s="215"/>
      <c r="BL67" s="214"/>
      <c r="BM67" s="215"/>
      <c r="BN67" s="214"/>
      <c r="BO67" s="215"/>
      <c r="BP67" s="214"/>
      <c r="BQ67" s="215"/>
      <c r="BR67" s="193">
        <f t="shared" si="0"/>
        <v>0</v>
      </c>
    </row>
    <row r="68" spans="1:71" s="79" customFormat="1">
      <c r="A68" s="234"/>
      <c r="B68" s="188"/>
      <c r="C68" s="123"/>
      <c r="D68" s="214"/>
      <c r="E68" s="215"/>
      <c r="F68" s="214"/>
      <c r="G68" s="215"/>
      <c r="H68" s="214"/>
      <c r="I68" s="215"/>
      <c r="J68" s="214"/>
      <c r="K68" s="215"/>
      <c r="L68" s="214"/>
      <c r="M68" s="215"/>
      <c r="N68" s="214"/>
      <c r="O68" s="215"/>
      <c r="P68" s="214"/>
      <c r="Q68" s="215"/>
      <c r="R68" s="214"/>
      <c r="S68" s="215"/>
      <c r="T68" s="214"/>
      <c r="U68" s="215"/>
      <c r="V68" s="214"/>
      <c r="W68" s="215"/>
      <c r="X68" s="214"/>
      <c r="Y68" s="215"/>
      <c r="Z68" s="214"/>
      <c r="AA68" s="215"/>
      <c r="AB68" s="214"/>
      <c r="AC68" s="215"/>
      <c r="AD68" s="214"/>
      <c r="AE68" s="215"/>
      <c r="AF68" s="214"/>
      <c r="AG68" s="215"/>
      <c r="AH68" s="214"/>
      <c r="AI68" s="215"/>
      <c r="AJ68" s="214"/>
      <c r="AK68" s="215"/>
      <c r="AL68" s="214"/>
      <c r="AM68" s="215"/>
      <c r="AN68" s="214"/>
      <c r="AO68" s="215"/>
      <c r="AP68" s="214"/>
      <c r="AQ68" s="215"/>
      <c r="AR68" s="214"/>
      <c r="AS68" s="215"/>
      <c r="AT68" s="214"/>
      <c r="AU68" s="215"/>
      <c r="AV68" s="214"/>
      <c r="AW68" s="215"/>
      <c r="AX68" s="214"/>
      <c r="AY68" s="215"/>
      <c r="AZ68" s="214"/>
      <c r="BA68" s="215"/>
      <c r="BB68" s="214"/>
      <c r="BC68" s="215"/>
      <c r="BD68" s="214"/>
      <c r="BE68" s="215"/>
      <c r="BF68" s="214"/>
      <c r="BG68" s="215"/>
      <c r="BH68" s="214"/>
      <c r="BI68" s="215"/>
      <c r="BJ68" s="214"/>
      <c r="BK68" s="215"/>
      <c r="BL68" s="214"/>
      <c r="BM68" s="215"/>
      <c r="BN68" s="214"/>
      <c r="BO68" s="215"/>
      <c r="BP68" s="214"/>
      <c r="BQ68" s="215"/>
      <c r="BR68" s="193">
        <f t="shared" si="0"/>
        <v>0</v>
      </c>
    </row>
    <row r="69" spans="1:71" s="79" customFormat="1">
      <c r="A69" s="234"/>
      <c r="B69" s="188"/>
      <c r="C69" s="211"/>
      <c r="D69" s="214"/>
      <c r="E69" s="215"/>
      <c r="F69" s="214"/>
      <c r="G69" s="215"/>
      <c r="H69" s="214"/>
      <c r="I69" s="215"/>
      <c r="J69" s="214"/>
      <c r="K69" s="215"/>
      <c r="L69" s="214"/>
      <c r="M69" s="215"/>
      <c r="N69" s="214"/>
      <c r="O69" s="215"/>
      <c r="P69" s="214"/>
      <c r="Q69" s="215"/>
      <c r="R69" s="214"/>
      <c r="S69" s="215"/>
      <c r="T69" s="214"/>
      <c r="U69" s="215"/>
      <c r="V69" s="214"/>
      <c r="W69" s="215"/>
      <c r="X69" s="214"/>
      <c r="Y69" s="215"/>
      <c r="Z69" s="214"/>
      <c r="AA69" s="215"/>
      <c r="AB69" s="214"/>
      <c r="AC69" s="215"/>
      <c r="AD69" s="214"/>
      <c r="AE69" s="215"/>
      <c r="AF69" s="214"/>
      <c r="AG69" s="215"/>
      <c r="AH69" s="214"/>
      <c r="AI69" s="215"/>
      <c r="AJ69" s="214"/>
      <c r="AK69" s="215"/>
      <c r="AL69" s="214"/>
      <c r="AM69" s="215"/>
      <c r="AN69" s="214"/>
      <c r="AO69" s="215"/>
      <c r="AP69" s="214"/>
      <c r="AQ69" s="215"/>
      <c r="AR69" s="214"/>
      <c r="AS69" s="215"/>
      <c r="AT69" s="214"/>
      <c r="AU69" s="215"/>
      <c r="AV69" s="214"/>
      <c r="AW69" s="215"/>
      <c r="AX69" s="214"/>
      <c r="AY69" s="215"/>
      <c r="AZ69" s="214"/>
      <c r="BA69" s="215"/>
      <c r="BB69" s="214"/>
      <c r="BC69" s="215"/>
      <c r="BD69" s="214"/>
      <c r="BE69" s="215"/>
      <c r="BF69" s="214"/>
      <c r="BG69" s="215"/>
      <c r="BH69" s="214"/>
      <c r="BI69" s="215"/>
      <c r="BJ69" s="214"/>
      <c r="BK69" s="215"/>
      <c r="BL69" s="214"/>
      <c r="BM69" s="215"/>
      <c r="BN69" s="214"/>
      <c r="BO69" s="215"/>
      <c r="BP69" s="214"/>
      <c r="BQ69" s="215"/>
      <c r="BR69" s="193">
        <f t="shared" si="0"/>
        <v>0</v>
      </c>
    </row>
    <row r="70" spans="1:71" s="79" customFormat="1">
      <c r="A70" s="234"/>
      <c r="B70" s="188"/>
      <c r="C70" s="211"/>
      <c r="D70" s="214"/>
      <c r="E70" s="215"/>
      <c r="F70" s="214"/>
      <c r="G70" s="215"/>
      <c r="H70" s="214"/>
      <c r="I70" s="215"/>
      <c r="J70" s="214"/>
      <c r="K70" s="215"/>
      <c r="L70" s="214"/>
      <c r="M70" s="215"/>
      <c r="N70" s="214"/>
      <c r="O70" s="215"/>
      <c r="P70" s="214"/>
      <c r="Q70" s="215"/>
      <c r="R70" s="214"/>
      <c r="S70" s="215"/>
      <c r="T70" s="214"/>
      <c r="U70" s="215"/>
      <c r="V70" s="214"/>
      <c r="W70" s="215"/>
      <c r="X70" s="214"/>
      <c r="Y70" s="215"/>
      <c r="Z70" s="214"/>
      <c r="AA70" s="215"/>
      <c r="AB70" s="214"/>
      <c r="AC70" s="215"/>
      <c r="AD70" s="214"/>
      <c r="AE70" s="215"/>
      <c r="AF70" s="214"/>
      <c r="AG70" s="215"/>
      <c r="AH70" s="214"/>
      <c r="AI70" s="215"/>
      <c r="AJ70" s="214"/>
      <c r="AK70" s="215"/>
      <c r="AL70" s="214"/>
      <c r="AM70" s="215"/>
      <c r="AN70" s="214"/>
      <c r="AO70" s="215"/>
      <c r="AP70" s="214"/>
      <c r="AQ70" s="215"/>
      <c r="AR70" s="214"/>
      <c r="AS70" s="215"/>
      <c r="AT70" s="214"/>
      <c r="AU70" s="215"/>
      <c r="AV70" s="214"/>
      <c r="AW70" s="215"/>
      <c r="AX70" s="214"/>
      <c r="AY70" s="215"/>
      <c r="AZ70" s="214"/>
      <c r="BA70" s="215"/>
      <c r="BB70" s="214"/>
      <c r="BC70" s="215"/>
      <c r="BD70" s="214"/>
      <c r="BE70" s="215"/>
      <c r="BF70" s="214"/>
      <c r="BG70" s="215"/>
      <c r="BH70" s="214"/>
      <c r="BI70" s="215"/>
      <c r="BJ70" s="214"/>
      <c r="BK70" s="215"/>
      <c r="BL70" s="214"/>
      <c r="BM70" s="215"/>
      <c r="BN70" s="214"/>
      <c r="BO70" s="215"/>
      <c r="BP70" s="214"/>
      <c r="BQ70" s="215"/>
      <c r="BR70" s="193">
        <f t="shared" si="0"/>
        <v>0</v>
      </c>
    </row>
    <row r="71" spans="1:71" s="79" customFormat="1">
      <c r="A71" s="234"/>
      <c r="B71" s="188"/>
      <c r="C71" s="123"/>
      <c r="D71" s="214"/>
      <c r="E71" s="215"/>
      <c r="F71" s="214"/>
      <c r="G71" s="215"/>
      <c r="H71" s="214"/>
      <c r="I71" s="215"/>
      <c r="J71" s="214"/>
      <c r="K71" s="215"/>
      <c r="L71" s="214"/>
      <c r="M71" s="215"/>
      <c r="N71" s="214"/>
      <c r="O71" s="215"/>
      <c r="P71" s="214"/>
      <c r="Q71" s="215"/>
      <c r="R71" s="214"/>
      <c r="S71" s="215"/>
      <c r="T71" s="214"/>
      <c r="U71" s="215"/>
      <c r="V71" s="214"/>
      <c r="W71" s="215"/>
      <c r="X71" s="214"/>
      <c r="Y71" s="215"/>
      <c r="Z71" s="214"/>
      <c r="AA71" s="215"/>
      <c r="AB71" s="214"/>
      <c r="AC71" s="215"/>
      <c r="AD71" s="214"/>
      <c r="AE71" s="215"/>
      <c r="AF71" s="214"/>
      <c r="AG71" s="215"/>
      <c r="AH71" s="214"/>
      <c r="AI71" s="215"/>
      <c r="AJ71" s="214"/>
      <c r="AK71" s="215"/>
      <c r="AL71" s="214"/>
      <c r="AM71" s="215"/>
      <c r="AN71" s="214"/>
      <c r="AO71" s="215"/>
      <c r="AP71" s="214"/>
      <c r="AQ71" s="215"/>
      <c r="AR71" s="214"/>
      <c r="AS71" s="215"/>
      <c r="AT71" s="214"/>
      <c r="AU71" s="215"/>
      <c r="AV71" s="214"/>
      <c r="AW71" s="215"/>
      <c r="AX71" s="214"/>
      <c r="AY71" s="215"/>
      <c r="AZ71" s="214"/>
      <c r="BA71" s="215"/>
      <c r="BB71" s="214"/>
      <c r="BC71" s="215"/>
      <c r="BD71" s="214"/>
      <c r="BE71" s="215"/>
      <c r="BF71" s="214"/>
      <c r="BG71" s="215"/>
      <c r="BH71" s="214"/>
      <c r="BI71" s="215"/>
      <c r="BJ71" s="214"/>
      <c r="BK71" s="215"/>
      <c r="BL71" s="214"/>
      <c r="BM71" s="215"/>
      <c r="BN71" s="214"/>
      <c r="BO71" s="215"/>
      <c r="BP71" s="214"/>
      <c r="BQ71" s="215"/>
      <c r="BR71" s="193">
        <f t="shared" si="0"/>
        <v>0</v>
      </c>
    </row>
    <row r="72" spans="1:71" s="79" customFormat="1">
      <c r="A72" s="234"/>
      <c r="B72" s="188"/>
      <c r="C72" s="186"/>
      <c r="D72" s="214"/>
      <c r="E72" s="215"/>
      <c r="F72" s="214"/>
      <c r="G72" s="215"/>
      <c r="H72" s="214"/>
      <c r="I72" s="215"/>
      <c r="J72" s="214"/>
      <c r="K72" s="215"/>
      <c r="L72" s="214"/>
      <c r="M72" s="215"/>
      <c r="N72" s="214"/>
      <c r="O72" s="215"/>
      <c r="P72" s="214"/>
      <c r="Q72" s="215"/>
      <c r="R72" s="214"/>
      <c r="S72" s="215"/>
      <c r="T72" s="214"/>
      <c r="U72" s="215"/>
      <c r="V72" s="214"/>
      <c r="W72" s="215"/>
      <c r="X72" s="214"/>
      <c r="Y72" s="215"/>
      <c r="Z72" s="214"/>
      <c r="AA72" s="215"/>
      <c r="AB72" s="214"/>
      <c r="AC72" s="215"/>
      <c r="AD72" s="214"/>
      <c r="AE72" s="215"/>
      <c r="AF72" s="214"/>
      <c r="AG72" s="215"/>
      <c r="AH72" s="214"/>
      <c r="AI72" s="215"/>
      <c r="AJ72" s="214"/>
      <c r="AK72" s="215"/>
      <c r="AL72" s="214"/>
      <c r="AM72" s="215"/>
      <c r="AN72" s="214"/>
      <c r="AO72" s="215"/>
      <c r="AP72" s="214"/>
      <c r="AQ72" s="215"/>
      <c r="AR72" s="214"/>
      <c r="AS72" s="215"/>
      <c r="AT72" s="214"/>
      <c r="AU72" s="215"/>
      <c r="AV72" s="214"/>
      <c r="AW72" s="215"/>
      <c r="AX72" s="214"/>
      <c r="AY72" s="215"/>
      <c r="AZ72" s="214"/>
      <c r="BA72" s="215"/>
      <c r="BB72" s="214"/>
      <c r="BC72" s="215"/>
      <c r="BD72" s="214"/>
      <c r="BE72" s="215"/>
      <c r="BF72" s="214"/>
      <c r="BG72" s="215"/>
      <c r="BH72" s="214"/>
      <c r="BI72" s="215"/>
      <c r="BJ72" s="214"/>
      <c r="BK72" s="215"/>
      <c r="BL72" s="214"/>
      <c r="BM72" s="215"/>
      <c r="BN72" s="214"/>
      <c r="BO72" s="215"/>
      <c r="BP72" s="214"/>
      <c r="BQ72" s="215"/>
      <c r="BR72" s="193">
        <f t="shared" si="0"/>
        <v>0</v>
      </c>
    </row>
    <row r="73" spans="1:71" s="79" customFormat="1">
      <c r="A73" s="234"/>
      <c r="B73" s="188"/>
      <c r="C73" s="211"/>
      <c r="D73" s="214"/>
      <c r="E73" s="215"/>
      <c r="F73" s="214"/>
      <c r="G73" s="215"/>
      <c r="H73" s="214"/>
      <c r="I73" s="215"/>
      <c r="J73" s="214"/>
      <c r="K73" s="215"/>
      <c r="L73" s="214"/>
      <c r="M73" s="215"/>
      <c r="N73" s="214"/>
      <c r="O73" s="215"/>
      <c r="P73" s="214"/>
      <c r="Q73" s="215"/>
      <c r="R73" s="214"/>
      <c r="S73" s="215"/>
      <c r="T73" s="214"/>
      <c r="U73" s="215"/>
      <c r="V73" s="214"/>
      <c r="W73" s="215"/>
      <c r="X73" s="214"/>
      <c r="Y73" s="215"/>
      <c r="Z73" s="214"/>
      <c r="AA73" s="215"/>
      <c r="AB73" s="214"/>
      <c r="AC73" s="215"/>
      <c r="AD73" s="214"/>
      <c r="AE73" s="215"/>
      <c r="AF73" s="214"/>
      <c r="AG73" s="215"/>
      <c r="AH73" s="214"/>
      <c r="AI73" s="215"/>
      <c r="AJ73" s="214"/>
      <c r="AK73" s="215"/>
      <c r="AL73" s="214"/>
      <c r="AM73" s="215"/>
      <c r="AN73" s="214"/>
      <c r="AO73" s="215"/>
      <c r="AP73" s="214"/>
      <c r="AQ73" s="215"/>
      <c r="AR73" s="214"/>
      <c r="AS73" s="215"/>
      <c r="AT73" s="214"/>
      <c r="AU73" s="215"/>
      <c r="AV73" s="214"/>
      <c r="AW73" s="215"/>
      <c r="AX73" s="214"/>
      <c r="AY73" s="215"/>
      <c r="AZ73" s="214"/>
      <c r="BA73" s="215"/>
      <c r="BB73" s="214"/>
      <c r="BC73" s="215"/>
      <c r="BD73" s="214"/>
      <c r="BE73" s="215"/>
      <c r="BF73" s="214"/>
      <c r="BG73" s="215"/>
      <c r="BH73" s="214"/>
      <c r="BI73" s="215"/>
      <c r="BJ73" s="214"/>
      <c r="BK73" s="215"/>
      <c r="BL73" s="214"/>
      <c r="BM73" s="215"/>
      <c r="BN73" s="214"/>
      <c r="BO73" s="215"/>
      <c r="BP73" s="214"/>
      <c r="BQ73" s="215"/>
      <c r="BR73" s="193">
        <f t="shared" si="0"/>
        <v>0</v>
      </c>
    </row>
    <row r="74" spans="1:71" s="79" customFormat="1">
      <c r="A74" s="234"/>
      <c r="B74" s="188"/>
      <c r="C74" s="211"/>
      <c r="D74" s="214"/>
      <c r="E74" s="215"/>
      <c r="F74" s="214"/>
      <c r="G74" s="215"/>
      <c r="H74" s="214"/>
      <c r="I74" s="215"/>
      <c r="J74" s="214"/>
      <c r="K74" s="215"/>
      <c r="L74" s="214"/>
      <c r="M74" s="215"/>
      <c r="N74" s="214"/>
      <c r="O74" s="215"/>
      <c r="P74" s="214"/>
      <c r="Q74" s="215"/>
      <c r="R74" s="214"/>
      <c r="S74" s="215"/>
      <c r="T74" s="214"/>
      <c r="U74" s="215"/>
      <c r="V74" s="214"/>
      <c r="W74" s="215"/>
      <c r="X74" s="214"/>
      <c r="Y74" s="215"/>
      <c r="Z74" s="214"/>
      <c r="AA74" s="215"/>
      <c r="AB74" s="214"/>
      <c r="AC74" s="215"/>
      <c r="AD74" s="214"/>
      <c r="AE74" s="215"/>
      <c r="AF74" s="214"/>
      <c r="AG74" s="215"/>
      <c r="AH74" s="214"/>
      <c r="AI74" s="215"/>
      <c r="AJ74" s="214"/>
      <c r="AK74" s="215"/>
      <c r="AL74" s="214"/>
      <c r="AM74" s="215"/>
      <c r="AN74" s="214"/>
      <c r="AO74" s="215"/>
      <c r="AP74" s="214"/>
      <c r="AQ74" s="215"/>
      <c r="AR74" s="214"/>
      <c r="AS74" s="215"/>
      <c r="AT74" s="214"/>
      <c r="AU74" s="215"/>
      <c r="AV74" s="214"/>
      <c r="AW74" s="215"/>
      <c r="AX74" s="214"/>
      <c r="AY74" s="215"/>
      <c r="AZ74" s="214"/>
      <c r="BA74" s="215"/>
      <c r="BB74" s="214"/>
      <c r="BC74" s="215"/>
      <c r="BD74" s="214"/>
      <c r="BE74" s="215"/>
      <c r="BF74" s="214"/>
      <c r="BG74" s="215"/>
      <c r="BH74" s="214"/>
      <c r="BI74" s="215"/>
      <c r="BJ74" s="214"/>
      <c r="BK74" s="215"/>
      <c r="BL74" s="214"/>
      <c r="BM74" s="215"/>
      <c r="BN74" s="214"/>
      <c r="BO74" s="215"/>
      <c r="BP74" s="214"/>
      <c r="BQ74" s="215"/>
      <c r="BR74" s="193">
        <f t="shared" si="0"/>
        <v>0</v>
      </c>
    </row>
    <row r="75" spans="1:71" s="79" customFormat="1">
      <c r="A75" s="234"/>
      <c r="B75" s="188"/>
      <c r="C75" s="211"/>
      <c r="D75" s="214"/>
      <c r="E75" s="215"/>
      <c r="F75" s="214"/>
      <c r="G75" s="215"/>
      <c r="H75" s="214"/>
      <c r="I75" s="215"/>
      <c r="J75" s="214"/>
      <c r="K75" s="215"/>
      <c r="L75" s="214"/>
      <c r="M75" s="215"/>
      <c r="N75" s="214"/>
      <c r="O75" s="215"/>
      <c r="P75" s="214"/>
      <c r="Q75" s="215"/>
      <c r="R75" s="214"/>
      <c r="S75" s="215"/>
      <c r="T75" s="214"/>
      <c r="U75" s="215"/>
      <c r="V75" s="214"/>
      <c r="W75" s="215"/>
      <c r="X75" s="214"/>
      <c r="Y75" s="215"/>
      <c r="Z75" s="214"/>
      <c r="AA75" s="215"/>
      <c r="AB75" s="214"/>
      <c r="AC75" s="215"/>
      <c r="AD75" s="214"/>
      <c r="AE75" s="215"/>
      <c r="AF75" s="214"/>
      <c r="AG75" s="215"/>
      <c r="AH75" s="214"/>
      <c r="AI75" s="215"/>
      <c r="AJ75" s="214"/>
      <c r="AK75" s="215"/>
      <c r="AL75" s="214"/>
      <c r="AM75" s="215"/>
      <c r="AN75" s="214"/>
      <c r="AO75" s="215"/>
      <c r="AP75" s="214"/>
      <c r="AQ75" s="215"/>
      <c r="AR75" s="214"/>
      <c r="AS75" s="215"/>
      <c r="AT75" s="214"/>
      <c r="AU75" s="215"/>
      <c r="AV75" s="214"/>
      <c r="AW75" s="215"/>
      <c r="AX75" s="214"/>
      <c r="AY75" s="215"/>
      <c r="AZ75" s="214"/>
      <c r="BA75" s="215"/>
      <c r="BB75" s="214"/>
      <c r="BC75" s="215"/>
      <c r="BD75" s="214"/>
      <c r="BE75" s="215"/>
      <c r="BF75" s="214"/>
      <c r="BG75" s="215"/>
      <c r="BH75" s="214"/>
      <c r="BI75" s="215"/>
      <c r="BJ75" s="214"/>
      <c r="BK75" s="215"/>
      <c r="BL75" s="214"/>
      <c r="BM75" s="215"/>
      <c r="BN75" s="214"/>
      <c r="BO75" s="215"/>
      <c r="BP75" s="214"/>
      <c r="BQ75" s="215"/>
      <c r="BR75" s="193">
        <f t="shared" si="0"/>
        <v>0</v>
      </c>
    </row>
    <row r="76" spans="1:71" s="202" customFormat="1">
      <c r="A76" s="235"/>
      <c r="B76" s="207" t="s">
        <v>41</v>
      </c>
      <c r="C76" s="207"/>
      <c r="D76" s="216">
        <f>SUM(D8:D75)</f>
        <v>100</v>
      </c>
      <c r="E76" s="217"/>
      <c r="F76" s="216">
        <f>SUM(F8:F75)</f>
        <v>996984.85</v>
      </c>
      <c r="G76" s="217"/>
      <c r="H76" s="216">
        <f>SUM(H8:H75)</f>
        <v>5000</v>
      </c>
      <c r="I76" s="217"/>
      <c r="J76" s="216">
        <f>SUM(J8:J75)</f>
        <v>14726.5</v>
      </c>
      <c r="K76" s="217"/>
      <c r="L76" s="216">
        <f>SUM(L8:L75)</f>
        <v>7602</v>
      </c>
      <c r="M76" s="217"/>
      <c r="N76" s="216">
        <f>SUM(N8:N75)</f>
        <v>1568.95</v>
      </c>
      <c r="O76" s="217"/>
      <c r="P76" s="216">
        <f>SUM(P8:P75)</f>
        <v>0</v>
      </c>
      <c r="Q76" s="217"/>
      <c r="R76" s="216">
        <f>SUM(R8:R75)</f>
        <v>2316</v>
      </c>
      <c r="S76" s="217"/>
      <c r="T76" s="216">
        <f>SUM(T8:T75)</f>
        <v>2313.5</v>
      </c>
      <c r="U76" s="217"/>
      <c r="V76" s="216">
        <f>SUM(V8:V75)</f>
        <v>2500</v>
      </c>
      <c r="W76" s="217"/>
      <c r="X76" s="216">
        <f>SUM(X8:X75)</f>
        <v>235</v>
      </c>
      <c r="Y76" s="217"/>
      <c r="Z76" s="216">
        <f>SUM(Z8:Z75)</f>
        <v>0</v>
      </c>
      <c r="AA76" s="217"/>
      <c r="AB76" s="216">
        <f>SUM(AB8:AB75)</f>
        <v>0</v>
      </c>
      <c r="AC76" s="217"/>
      <c r="AD76" s="216">
        <f>SUM(AD8:AD75)</f>
        <v>0</v>
      </c>
      <c r="AE76" s="217"/>
      <c r="AF76" s="216">
        <f>SUM(AF8:AF75)</f>
        <v>0</v>
      </c>
      <c r="AG76" s="217"/>
      <c r="AH76" s="216">
        <f>SUM(AH8:AH75)</f>
        <v>963144.34</v>
      </c>
      <c r="AI76" s="217"/>
      <c r="AJ76" s="216">
        <f>SUM(AJ8:AJ75)</f>
        <v>0</v>
      </c>
      <c r="AK76" s="217"/>
      <c r="AL76" s="216">
        <f>SUM(AL8:AL75)</f>
        <v>0</v>
      </c>
      <c r="AM76" s="217"/>
      <c r="AN76" s="216">
        <f>SUM(AN8:AN75)</f>
        <v>0</v>
      </c>
      <c r="AO76" s="217"/>
      <c r="AP76" s="216">
        <f>SUM(AP8:AP75)</f>
        <v>0</v>
      </c>
      <c r="AQ76" s="217"/>
      <c r="AR76" s="216">
        <f>SUM(AR8:AR75)</f>
        <v>0</v>
      </c>
      <c r="AS76" s="217"/>
      <c r="AT76" s="216">
        <f>SUM(AT8:AT75)</f>
        <v>950000</v>
      </c>
      <c r="AU76" s="217"/>
      <c r="AV76" s="216">
        <f>SUM(AV8:AV75)</f>
        <v>112480</v>
      </c>
      <c r="AW76" s="217"/>
      <c r="AX76" s="216">
        <f>SUM(AX8:AX75)</f>
        <v>5000</v>
      </c>
      <c r="AY76" s="217"/>
      <c r="AZ76" s="216">
        <f>SUM(AZ8:AZ75)</f>
        <v>0</v>
      </c>
      <c r="BA76" s="217"/>
      <c r="BB76" s="216">
        <f>SUM(BB8:BB75)</f>
        <v>0</v>
      </c>
      <c r="BC76" s="217"/>
      <c r="BD76" s="216">
        <f>SUM(BD8:BD75)</f>
        <v>0</v>
      </c>
      <c r="BE76" s="217"/>
      <c r="BF76" s="216">
        <f>SUM(BF8:BF75)</f>
        <v>8541</v>
      </c>
      <c r="BG76" s="217"/>
      <c r="BH76" s="216">
        <f>SUM(BH8:BH75)</f>
        <v>0</v>
      </c>
      <c r="BI76" s="217"/>
      <c r="BJ76" s="216">
        <f>SUM(BJ8:BJ75)</f>
        <v>0</v>
      </c>
      <c r="BK76" s="217"/>
      <c r="BL76" s="216">
        <f>SUM(BL8:BL75)</f>
        <v>0</v>
      </c>
      <c r="BM76" s="217"/>
      <c r="BN76" s="216">
        <f>SUM(BN8:BN75)</f>
        <v>1086</v>
      </c>
      <c r="BO76" s="217"/>
      <c r="BP76" s="216">
        <f>SUM(BP8:BP75)</f>
        <v>90</v>
      </c>
      <c r="BQ76" s="217"/>
      <c r="BR76" s="203">
        <f t="shared" si="0"/>
        <v>3073688.1399999997</v>
      </c>
      <c r="BS76" s="202" t="s">
        <v>28</v>
      </c>
    </row>
    <row r="77" spans="1:71" s="202" customFormat="1">
      <c r="A77" s="235"/>
      <c r="B77" s="204" t="s">
        <v>42</v>
      </c>
      <c r="C77" s="204"/>
      <c r="D77" s="218"/>
      <c r="E77" s="219">
        <f>SUM(E8:E75)</f>
        <v>0</v>
      </c>
      <c r="F77" s="218"/>
      <c r="G77" s="219">
        <f>SUM(G8:G75)</f>
        <v>26219</v>
      </c>
      <c r="H77" s="218"/>
      <c r="I77" s="219">
        <f>SUM(I8:I75)</f>
        <v>0</v>
      </c>
      <c r="J77" s="218"/>
      <c r="K77" s="219">
        <f>SUM(K8:K75)</f>
        <v>0</v>
      </c>
      <c r="L77" s="218"/>
      <c r="M77" s="219">
        <f>SUM(M8:M75)</f>
        <v>2390</v>
      </c>
      <c r="N77" s="218"/>
      <c r="O77" s="219">
        <f>SUM(O8:O75)</f>
        <v>0</v>
      </c>
      <c r="P77" s="218"/>
      <c r="Q77" s="219">
        <f>SUM(Q8:Q75)</f>
        <v>0</v>
      </c>
      <c r="R77" s="218"/>
      <c r="S77" s="219">
        <f>SUM(S8:S75)</f>
        <v>0</v>
      </c>
      <c r="T77" s="218"/>
      <c r="U77" s="219">
        <f>SUM(U8:U75)</f>
        <v>0</v>
      </c>
      <c r="V77" s="218"/>
      <c r="W77" s="219">
        <f>SUM(W8:W75)</f>
        <v>0</v>
      </c>
      <c r="X77" s="218"/>
      <c r="Y77" s="219">
        <f>SUM(Y8:Y75)</f>
        <v>0</v>
      </c>
      <c r="Z77" s="218"/>
      <c r="AA77" s="219">
        <f>SUM(AA8:AA75)</f>
        <v>0</v>
      </c>
      <c r="AB77" s="218"/>
      <c r="AC77" s="219">
        <f>SUM(AC8:AC75)</f>
        <v>0</v>
      </c>
      <c r="AD77" s="218"/>
      <c r="AE77" s="219">
        <f>SUM(AE8:AE75)</f>
        <v>0</v>
      </c>
      <c r="AF77" s="218"/>
      <c r="AG77" s="219">
        <f>SUM(AG8:AG75)</f>
        <v>22800</v>
      </c>
      <c r="AH77" s="218"/>
      <c r="AI77" s="219">
        <f>SUM(AI8:AI75)</f>
        <v>963144.34</v>
      </c>
      <c r="AJ77" s="218"/>
      <c r="AK77" s="219">
        <f>SUM(AK8:AK75)</f>
        <v>10855.4</v>
      </c>
      <c r="AL77" s="218"/>
      <c r="AM77" s="219">
        <f>SUM(AM8:AM75)</f>
        <v>936.49</v>
      </c>
      <c r="AN77" s="218"/>
      <c r="AO77" s="219">
        <f>SUM(AO8:AO75)</f>
        <v>0</v>
      </c>
      <c r="AP77" s="218"/>
      <c r="AQ77" s="219">
        <f>SUM(AQ8:AQ75)</f>
        <v>0</v>
      </c>
      <c r="AR77" s="218"/>
      <c r="AS77" s="219">
        <f>SUM(AS8:AS75)</f>
        <v>0</v>
      </c>
      <c r="AT77" s="218"/>
      <c r="AU77" s="219">
        <f>SUM(AU8:AU75)</f>
        <v>0</v>
      </c>
      <c r="AV77" s="218"/>
      <c r="AW77" s="219">
        <f>SUM(AW8:AW75)</f>
        <v>0</v>
      </c>
      <c r="AX77" s="218"/>
      <c r="AY77" s="219">
        <f>SUM(AY8:AY75)</f>
        <v>0</v>
      </c>
      <c r="AZ77" s="218"/>
      <c r="BA77" s="219">
        <f>SUM(BA8:BA75)</f>
        <v>1067480</v>
      </c>
      <c r="BB77" s="218"/>
      <c r="BC77" s="219">
        <f>SUM(BC8:BC75)</f>
        <v>705024.66800000006</v>
      </c>
      <c r="BD77" s="218"/>
      <c r="BE77" s="219">
        <f>SUM(BE8:BE75)</f>
        <v>255494.29199999999</v>
      </c>
      <c r="BF77" s="218"/>
      <c r="BG77" s="219">
        <f>SUM(BG8:BG75)</f>
        <v>8541</v>
      </c>
      <c r="BH77" s="218"/>
      <c r="BI77" s="219">
        <f>SUM(BI8:BI75)</f>
        <v>0</v>
      </c>
      <c r="BJ77" s="218"/>
      <c r="BK77" s="219">
        <f>SUM(BK8:BK75)</f>
        <v>0</v>
      </c>
      <c r="BL77" s="218"/>
      <c r="BM77" s="219">
        <f>SUM(BM8:BM75)</f>
        <v>0</v>
      </c>
      <c r="BN77" s="218"/>
      <c r="BO77" s="219">
        <f>SUM(BO8:BO75)</f>
        <v>10712.95</v>
      </c>
      <c r="BP77" s="218"/>
      <c r="BQ77" s="219">
        <f>SUM(BQ8:BQ75)</f>
        <v>90</v>
      </c>
      <c r="BR77" s="203">
        <f t="shared" si="0"/>
        <v>-3073688.14</v>
      </c>
      <c r="BS77" s="202" t="s">
        <v>29</v>
      </c>
    </row>
    <row r="78" spans="1:71" s="202" customFormat="1">
      <c r="A78" s="235"/>
      <c r="B78" s="204" t="s">
        <v>197</v>
      </c>
      <c r="C78" s="204"/>
      <c r="D78" s="220">
        <f>IF(D76&gt;=E77,D76-E77,"")</f>
        <v>100</v>
      </c>
      <c r="E78" s="221" t="str">
        <f>IF(D76&lt;E77,E77-D76,"")</f>
        <v/>
      </c>
      <c r="F78" s="220">
        <f>IF(F76&gt;=G77,F76-G77,"")</f>
        <v>970765.85</v>
      </c>
      <c r="G78" s="221" t="str">
        <f>IF(F76&lt;G77,G77-F76,"")</f>
        <v/>
      </c>
      <c r="H78" s="220">
        <f>IF(H76&gt;=I77,H76-I77,"")</f>
        <v>5000</v>
      </c>
      <c r="I78" s="221" t="str">
        <f>IF(H76&lt;I77,I77-H76,"")</f>
        <v/>
      </c>
      <c r="J78" s="220">
        <f>IF(J76&gt;=K77,J76-K77,"")</f>
        <v>14726.5</v>
      </c>
      <c r="K78" s="221" t="str">
        <f>IF(J76&lt;K77,K77-J76,"")</f>
        <v/>
      </c>
      <c r="L78" s="220">
        <f>IF(L76&gt;=M77,L76-M77,"")</f>
        <v>5212</v>
      </c>
      <c r="M78" s="221" t="str">
        <f>IF(L76&lt;M77,M77-L76,"")</f>
        <v/>
      </c>
      <c r="N78" s="220">
        <f>IF(N76&gt;=O77,N76-O77,"")</f>
        <v>1568.95</v>
      </c>
      <c r="O78" s="221" t="str">
        <f>IF(N76&lt;O77,O77-N76,"")</f>
        <v/>
      </c>
      <c r="P78" s="220">
        <f>IF(P76&gt;=Q77,P76-Q77,"")</f>
        <v>0</v>
      </c>
      <c r="Q78" s="221" t="str">
        <f>IF(P76&lt;Q77,Q77-P76,"")</f>
        <v/>
      </c>
      <c r="R78" s="220">
        <f>IF(R76&gt;=S77,R76-S77,"")</f>
        <v>2316</v>
      </c>
      <c r="S78" s="221" t="str">
        <f>IF(R76&lt;S77,S77-R76,"")</f>
        <v/>
      </c>
      <c r="T78" s="220">
        <f>IF(T76&gt;=U77,T76-U77,"")</f>
        <v>2313.5</v>
      </c>
      <c r="U78" s="221" t="str">
        <f>IF(T76&lt;U77,U77-T76,"")</f>
        <v/>
      </c>
      <c r="V78" s="220">
        <f>IF(V76&gt;=W77,V76-W77,"")</f>
        <v>2500</v>
      </c>
      <c r="W78" s="221" t="str">
        <f>IF(V76&lt;W77,W77-V76,"")</f>
        <v/>
      </c>
      <c r="X78" s="220">
        <f>IF(X76&gt;=Y77,X76-Y77,"")</f>
        <v>235</v>
      </c>
      <c r="Y78" s="221" t="str">
        <f>IF(X76&lt;Y77,Y77-X76,"")</f>
        <v/>
      </c>
      <c r="Z78" s="220">
        <f>IF(Z76&gt;=AA77,Z76-AA77,"")</f>
        <v>0</v>
      </c>
      <c r="AA78" s="221" t="str">
        <f>IF(Z76&lt;AA77,AA77-Z76,"")</f>
        <v/>
      </c>
      <c r="AB78" s="220">
        <f>IF(AB76&gt;=AC77,AB76-AC77,"")</f>
        <v>0</v>
      </c>
      <c r="AC78" s="221" t="str">
        <f>IF(AB76&lt;AC77,AC77-AB76,"")</f>
        <v/>
      </c>
      <c r="AD78" s="220">
        <f>IF(AD76&gt;=AE77,AD76-AE77,"")</f>
        <v>0</v>
      </c>
      <c r="AE78" s="221" t="str">
        <f>IF(AD76&lt;AE77,AE77-AD76,"")</f>
        <v/>
      </c>
      <c r="AF78" s="220" t="str">
        <f>IF(AF76&gt;=AG77,AF76-AG77,"")</f>
        <v/>
      </c>
      <c r="AG78" s="221">
        <f>IF(AF76&lt;AG77,AG77-AF76,"")</f>
        <v>22800</v>
      </c>
      <c r="AH78" s="220">
        <f>IF(AH76&gt;=AI77,AH76-AI77,"")</f>
        <v>0</v>
      </c>
      <c r="AI78" s="221" t="str">
        <f>IF(AH76&lt;AI77,AI77-AH76,"")</f>
        <v/>
      </c>
      <c r="AJ78" s="220" t="str">
        <f>IF(AJ76&gt;=AK77,AJ76-AK77,"")</f>
        <v/>
      </c>
      <c r="AK78" s="221">
        <f>IF(AJ76&lt;AK77,AK77-AJ76,"")</f>
        <v>10855.4</v>
      </c>
      <c r="AL78" s="220" t="str">
        <f>IF(AL76&gt;=AM77,AL76-AM77,"")</f>
        <v/>
      </c>
      <c r="AM78" s="221">
        <f>IF(AL76&lt;AM77,AM77-AL76,"")</f>
        <v>936.49</v>
      </c>
      <c r="AN78" s="220">
        <f>IF(AN76&gt;=AO77,AN76-AO77,"")</f>
        <v>0</v>
      </c>
      <c r="AO78" s="221" t="str">
        <f>IF(AN76&lt;AO77,AO77-AN76,"")</f>
        <v/>
      </c>
      <c r="AP78" s="220">
        <f>IF(AP76&gt;=AQ77,AP76-AQ77,"")</f>
        <v>0</v>
      </c>
      <c r="AQ78" s="221" t="str">
        <f>IF(AP76&lt;AQ77,AQ77-AP76,"")</f>
        <v/>
      </c>
      <c r="AR78" s="220">
        <f>IF(AR76&gt;=AS77,AR76-AS77,"")</f>
        <v>0</v>
      </c>
      <c r="AS78" s="221" t="str">
        <f>IF(AR76&lt;AS77,AS77-AR76,"")</f>
        <v/>
      </c>
      <c r="AT78" s="220">
        <f>IF(AT76&gt;=AU77,AT76-AU77,"")</f>
        <v>950000</v>
      </c>
      <c r="AU78" s="221" t="str">
        <f>IF(AT76&lt;AU77,AU77-AT76,"")</f>
        <v/>
      </c>
      <c r="AV78" s="220">
        <f>IF(AV76&gt;=AW77,AV76-AW77,"")</f>
        <v>112480</v>
      </c>
      <c r="AW78" s="221" t="str">
        <f>IF(AV76&lt;AW77,AW77-AV76,"")</f>
        <v/>
      </c>
      <c r="AX78" s="220">
        <f>IF(AX76&gt;=AY77,AX76-AY77,"")</f>
        <v>5000</v>
      </c>
      <c r="AY78" s="221" t="str">
        <f>IF(AX76&lt;AY77,AY77-AX76,"")</f>
        <v/>
      </c>
      <c r="AZ78" s="220" t="str">
        <f>IF(AZ76&gt;=BA77,AZ76-BA77,"")</f>
        <v/>
      </c>
      <c r="BA78" s="221">
        <f>IF(AZ76&lt;BA77,BA77-AZ76,"")</f>
        <v>1067480</v>
      </c>
      <c r="BB78" s="220" t="str">
        <f>IF(BB76&gt;=BC77,BB76-BC77,"")</f>
        <v/>
      </c>
      <c r="BC78" s="221">
        <f>IF(BB76&lt;BC77,BC77-BB76,"")</f>
        <v>705024.66800000006</v>
      </c>
      <c r="BD78" s="220" t="str">
        <f>IF(BD76&gt;=BE77,BD76-BE77,"")</f>
        <v/>
      </c>
      <c r="BE78" s="221">
        <f>IF(BD76&lt;BE77,BE77-BD76,"")</f>
        <v>255494.29199999999</v>
      </c>
      <c r="BF78" s="220">
        <f>IF(BF76&gt;=BG77,BF76-BG77,"")</f>
        <v>0</v>
      </c>
      <c r="BG78" s="221" t="str">
        <f>IF(BF76&lt;BG77,BG77-BF76,"")</f>
        <v/>
      </c>
      <c r="BH78" s="220">
        <f>IF(BH76&gt;=BI77,BH76-BI77,"")</f>
        <v>0</v>
      </c>
      <c r="BI78" s="221" t="str">
        <f>IF(BH76&lt;BI77,BI77-BH76,"")</f>
        <v/>
      </c>
      <c r="BJ78" s="220">
        <f>IF(BJ76&gt;=BK77,BJ76-BK77,"")</f>
        <v>0</v>
      </c>
      <c r="BK78" s="221" t="str">
        <f>IF(BJ76&lt;BK77,BK77-BJ76,"")</f>
        <v/>
      </c>
      <c r="BL78" s="220">
        <f>IF(BL76&gt;=BM77,BL76-BM77,"")</f>
        <v>0</v>
      </c>
      <c r="BM78" s="221" t="str">
        <f>IF(BL76&lt;BM77,BM77-BL76,"")</f>
        <v/>
      </c>
      <c r="BN78" s="220" t="str">
        <f>IF(BN76&gt;=BO77,BN76-BO77,"")</f>
        <v/>
      </c>
      <c r="BO78" s="221">
        <f>IF(BN76&lt;BO77,BO77-BN76,"")</f>
        <v>9626.9500000000007</v>
      </c>
      <c r="BP78" s="220">
        <f>IF(BP76&gt;=BQ77,BP76-BQ77,"")</f>
        <v>0</v>
      </c>
      <c r="BQ78" s="221" t="str">
        <f>IF(BP76&lt;BQ77,BQ77-BP76,"")</f>
        <v/>
      </c>
      <c r="BR78" s="203"/>
    </row>
    <row r="79" spans="1:71" s="202" customFormat="1">
      <c r="A79" s="235"/>
      <c r="B79" s="207" t="s">
        <v>172</v>
      </c>
      <c r="C79" s="207"/>
      <c r="D79" s="216"/>
      <c r="E79" s="217"/>
      <c r="F79" s="216"/>
      <c r="G79" s="217"/>
      <c r="H79" s="216"/>
      <c r="I79" s="217"/>
      <c r="J79" s="216"/>
      <c r="K79" s="217"/>
      <c r="L79" s="216"/>
      <c r="M79" s="217"/>
      <c r="N79" s="216"/>
      <c r="O79" s="217"/>
      <c r="P79" s="216"/>
      <c r="Q79" s="217"/>
      <c r="R79" s="216"/>
      <c r="S79" s="217"/>
      <c r="T79" s="216"/>
      <c r="U79" s="217"/>
      <c r="V79" s="216"/>
      <c r="W79" s="217"/>
      <c r="X79" s="216"/>
      <c r="Y79" s="217"/>
      <c r="Z79" s="216"/>
      <c r="AA79" s="217"/>
      <c r="AB79" s="216"/>
      <c r="AC79" s="217"/>
      <c r="AD79" s="216"/>
      <c r="AE79" s="217"/>
      <c r="AF79" s="216"/>
      <c r="AG79" s="217"/>
      <c r="AH79" s="216"/>
      <c r="AI79" s="217"/>
      <c r="AJ79" s="216"/>
      <c r="AK79" s="217"/>
      <c r="AL79" s="216"/>
      <c r="AM79" s="217"/>
      <c r="AN79" s="216"/>
      <c r="AO79" s="217"/>
      <c r="AP79" s="216"/>
      <c r="AQ79" s="217"/>
      <c r="AR79" s="216"/>
      <c r="AS79" s="217"/>
      <c r="AT79" s="216"/>
      <c r="AU79" s="217"/>
      <c r="AV79" s="216"/>
      <c r="AW79" s="217"/>
      <c r="AX79" s="216"/>
      <c r="AY79" s="217"/>
      <c r="AZ79" s="216"/>
      <c r="BA79" s="217"/>
      <c r="BB79" s="245"/>
      <c r="BC79" s="246">
        <v>2358</v>
      </c>
      <c r="BD79" s="245">
        <v>1638</v>
      </c>
      <c r="BE79" s="246"/>
      <c r="BF79" s="216"/>
      <c r="BG79" s="217"/>
      <c r="BH79" s="216"/>
      <c r="BI79" s="217"/>
      <c r="BJ79" s="216"/>
      <c r="BK79" s="217"/>
      <c r="BL79" s="216"/>
      <c r="BM79" s="217"/>
      <c r="BN79" s="216"/>
      <c r="BO79" s="217"/>
      <c r="BP79" s="216"/>
      <c r="BQ79" s="217"/>
      <c r="BR79" s="193">
        <f>D79-E79+F79-G79+H79-I79+J79-K79+L79-M79+N79-O79+P79-Q79+R79-S79+T79-U79+V79-W79+X79-Y79+Z79-AA79+AB79-AC79+AD79-AE79+AF79-AG79+AH79-AI79+AJ79-AK79+AL79-AM79+AN79-AO79+AP79-AQ79+AR79-AS79+AT79-AU79+AV79-AW79+AX79-AY79+AZ79-BA79+BB79-BC79+BD79-BE79+BF79-BG79+BH79-BI79+BJ79-BK79+BL79-BM79+BN79-BO79+BP79-BQ79</f>
        <v>-720</v>
      </c>
      <c r="BS79" s="203"/>
    </row>
    <row r="80" spans="1:71" s="202" customFormat="1" ht="13.5" thickBot="1">
      <c r="A80" s="236"/>
      <c r="B80" s="237" t="s">
        <v>526</v>
      </c>
      <c r="C80" s="237"/>
      <c r="D80" s="238">
        <f>D78+D79</f>
        <v>100</v>
      </c>
      <c r="E80" s="239"/>
      <c r="F80" s="238">
        <f>F78+F79</f>
        <v>970765.85</v>
      </c>
      <c r="G80" s="239"/>
      <c r="H80" s="238"/>
      <c r="I80" s="239"/>
      <c r="J80" s="238"/>
      <c r="K80" s="239"/>
      <c r="L80" s="238"/>
      <c r="M80" s="239"/>
      <c r="N80" s="238"/>
      <c r="O80" s="239"/>
      <c r="P80" s="238"/>
      <c r="Q80" s="239"/>
      <c r="R80" s="238"/>
      <c r="S80" s="239"/>
      <c r="T80" s="238"/>
      <c r="U80" s="239"/>
      <c r="V80" s="238"/>
      <c r="W80" s="239"/>
      <c r="X80" s="238"/>
      <c r="Y80" s="239"/>
      <c r="Z80" s="238"/>
      <c r="AA80" s="239"/>
      <c r="AB80" s="238"/>
      <c r="AC80" s="239"/>
      <c r="AD80" s="238"/>
      <c r="AE80" s="239"/>
      <c r="AF80" s="238"/>
      <c r="AG80" s="239"/>
      <c r="AH80" s="238"/>
      <c r="AI80" s="239"/>
      <c r="AJ80" s="238"/>
      <c r="AK80" s="239"/>
      <c r="AL80" s="238"/>
      <c r="AM80" s="239"/>
      <c r="AN80" s="238"/>
      <c r="AO80" s="239"/>
      <c r="AP80" s="238"/>
      <c r="AQ80" s="239"/>
      <c r="AR80" s="238">
        <f>AR78+AR79</f>
        <v>0</v>
      </c>
      <c r="AS80" s="239"/>
      <c r="AT80" s="238">
        <f>AT78+AT79</f>
        <v>950000</v>
      </c>
      <c r="AU80" s="239"/>
      <c r="AV80" s="238">
        <f>AV78+AV79</f>
        <v>112480</v>
      </c>
      <c r="AW80" s="239"/>
      <c r="AX80" s="238">
        <f>AX78+AX79</f>
        <v>5000</v>
      </c>
      <c r="AY80" s="239"/>
      <c r="AZ80" s="238"/>
      <c r="BA80" s="239">
        <f>BA78+BA79</f>
        <v>1067480</v>
      </c>
      <c r="BB80" s="238"/>
      <c r="BC80" s="239">
        <f>BC78+BC79-BB79</f>
        <v>707382.66800000006</v>
      </c>
      <c r="BD80" s="238"/>
      <c r="BE80" s="239">
        <f>BE78+BE79-BD79</f>
        <v>253856.29199999999</v>
      </c>
      <c r="BF80" s="238">
        <f>BF78+BF79</f>
        <v>0</v>
      </c>
      <c r="BG80" s="239"/>
      <c r="BH80" s="238">
        <f>BH78+BH79</f>
        <v>0</v>
      </c>
      <c r="BI80" s="239"/>
      <c r="BJ80" s="238">
        <f>BJ78+BJ79</f>
        <v>0</v>
      </c>
      <c r="BK80" s="239"/>
      <c r="BL80" s="238">
        <f>BL78+BL79</f>
        <v>0</v>
      </c>
      <c r="BM80" s="239"/>
      <c r="BN80" s="238"/>
      <c r="BO80" s="239">
        <f>BO78+BO79</f>
        <v>9626.9500000000007</v>
      </c>
      <c r="BP80" s="238">
        <f>BP78+BP79</f>
        <v>0</v>
      </c>
      <c r="BQ80" s="239"/>
      <c r="BR80" s="193">
        <f>D80-E80+F80-G80+H80-I80+J80-K80+L80-M80+N80-O80+P80-Q80+R80-S80+T80-U80+V80-W80+X80-Y80+Z80-AA80+AB80-AC80+AD80-AE80+AF80-AG80+AH80-AI80+AJ80-AK80+AL80-AM80+AN80-AO80+AP80-AQ80+AR80-AS80+AT80-AU80+AV80-AW80+AX80-AY80+AZ80-BA80+BB80-BC80+BD80-BE80+BF80-BG80+BH80-BI80+BJ80-BK80+BL80-BM80+BN80-BO80+BP80-BQ80</f>
        <v>-5.9999999957653927E-2</v>
      </c>
    </row>
    <row r="81" spans="2:70">
      <c r="B81" s="158"/>
      <c r="G81" s="113"/>
      <c r="H81" s="159"/>
      <c r="BR81" s="113"/>
    </row>
    <row r="82" spans="2:70">
      <c r="E82" s="43"/>
      <c r="F82" s="113"/>
    </row>
    <row r="83" spans="2:70">
      <c r="BR83" s="113"/>
    </row>
    <row r="84" spans="2:70" ht="24.75">
      <c r="B84" s="147" t="s">
        <v>523</v>
      </c>
      <c r="F84" s="113"/>
    </row>
    <row r="86" spans="2:70" ht="19.5">
      <c r="B86" s="148" t="s">
        <v>51</v>
      </c>
      <c r="C86" s="148"/>
      <c r="D86" s="148">
        <v>2010</v>
      </c>
      <c r="E86" s="148">
        <v>2009</v>
      </c>
    </row>
    <row r="87" spans="2:70">
      <c r="B87" s="35"/>
    </row>
    <row r="88" spans="2:70">
      <c r="B88" s="33" t="s">
        <v>52</v>
      </c>
    </row>
    <row r="89" spans="2:70">
      <c r="B89" s="33" t="s">
        <v>53</v>
      </c>
      <c r="H89" s="35"/>
      <c r="AF89" s="34"/>
      <c r="AG89" s="34"/>
    </row>
    <row r="90" spans="2:70">
      <c r="B90" s="36" t="s">
        <v>54</v>
      </c>
      <c r="D90" s="155">
        <f>$D$76-$E$77</f>
        <v>100</v>
      </c>
      <c r="E90" s="155">
        <f>$D$8-$E$8</f>
        <v>100</v>
      </c>
      <c r="H90" s="35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5"/>
      <c r="AG90" s="75"/>
    </row>
    <row r="91" spans="2:70">
      <c r="B91" s="36" t="s">
        <v>368</v>
      </c>
      <c r="C91" s="177" t="s">
        <v>378</v>
      </c>
      <c r="D91" s="155">
        <f>$F$76-$G$77</f>
        <v>970765.85</v>
      </c>
      <c r="E91" s="155">
        <f>$F$8-$G$8</f>
        <v>585.02000000001863</v>
      </c>
      <c r="F91" s="77"/>
      <c r="H91" s="64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5"/>
      <c r="AG91" s="75"/>
    </row>
    <row r="92" spans="2:70">
      <c r="B92" s="36" t="s">
        <v>57</v>
      </c>
      <c r="D92" s="155">
        <f>$AH$76-$AI$77</f>
        <v>0</v>
      </c>
      <c r="E92" s="155">
        <f>$AH$8-$AI$8</f>
        <v>952288.94</v>
      </c>
      <c r="F92" s="77"/>
      <c r="H92" s="64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5"/>
      <c r="AG92" s="75"/>
    </row>
    <row r="93" spans="2:70">
      <c r="B93" s="36" t="s">
        <v>58</v>
      </c>
      <c r="C93" s="177"/>
      <c r="D93" s="155">
        <f>$BF$76-$BG$77</f>
        <v>0</v>
      </c>
      <c r="E93" s="155">
        <f>$BF$8-$BG$8</f>
        <v>8541</v>
      </c>
      <c r="F93" s="77"/>
      <c r="G93" s="77"/>
      <c r="H93" s="64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5"/>
      <c r="AG93" s="75"/>
    </row>
    <row r="94" spans="2:70">
      <c r="B94" s="36" t="s">
        <v>484</v>
      </c>
      <c r="C94" s="177"/>
      <c r="D94" s="155">
        <f>$BP$76-$BQ$77</f>
        <v>0</v>
      </c>
      <c r="E94" s="155">
        <f>$BP$8-$BQ$8</f>
        <v>90</v>
      </c>
      <c r="F94" s="77"/>
      <c r="H94" s="64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5"/>
      <c r="AG94" s="75"/>
    </row>
    <row r="95" spans="2:70">
      <c r="B95" s="36" t="s">
        <v>144</v>
      </c>
      <c r="C95" s="177"/>
      <c r="D95" s="155">
        <f>$BJ$76-$BK$77</f>
        <v>0</v>
      </c>
      <c r="E95" s="155">
        <f>$BJ$8-$BK$8</f>
        <v>0</v>
      </c>
      <c r="F95" s="77"/>
      <c r="G95" s="77"/>
      <c r="H95" s="65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5"/>
      <c r="AG95" s="75"/>
    </row>
    <row r="96" spans="2:70" ht="13.5" thickBot="1">
      <c r="B96" s="33" t="s">
        <v>60</v>
      </c>
      <c r="D96" s="156">
        <f>SUM(D90:D95)</f>
        <v>970865.85</v>
      </c>
      <c r="E96" s="156">
        <f>SUM(E90:E95)</f>
        <v>961604.96</v>
      </c>
      <c r="F96" s="37"/>
      <c r="H96" s="64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5"/>
      <c r="AG96" s="75"/>
    </row>
    <row r="97" spans="2:33" ht="13.5" thickTop="1">
      <c r="B97" s="35"/>
      <c r="D97" s="77"/>
      <c r="E97" s="77"/>
      <c r="F97" s="37"/>
      <c r="H97" s="64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5"/>
      <c r="AG97" s="75"/>
    </row>
    <row r="98" spans="2:33">
      <c r="B98" s="35"/>
      <c r="D98" s="77"/>
      <c r="E98" s="94"/>
      <c r="F98" s="37"/>
      <c r="H98" s="64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5"/>
      <c r="AG98" s="75"/>
    </row>
    <row r="99" spans="2:33">
      <c r="B99" s="33" t="s">
        <v>61</v>
      </c>
      <c r="D99" s="77"/>
      <c r="E99" s="77"/>
      <c r="F99" s="37"/>
      <c r="H99" s="64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5"/>
      <c r="AG99" s="75"/>
    </row>
    <row r="100" spans="2:33">
      <c r="B100" s="36"/>
      <c r="D100" s="155"/>
      <c r="E100" s="155"/>
      <c r="F100" s="37"/>
      <c r="G100" s="77"/>
      <c r="H100" s="64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5"/>
      <c r="AG100" s="75"/>
    </row>
    <row r="101" spans="2:33">
      <c r="B101" s="35" t="s">
        <v>63</v>
      </c>
      <c r="C101" s="177" t="s">
        <v>501</v>
      </c>
      <c r="D101" s="155">
        <f>$AT$76-$AU$77</f>
        <v>950000</v>
      </c>
      <c r="E101" s="155">
        <f>$AT$8-$AU$8</f>
        <v>950000</v>
      </c>
      <c r="F101" s="37"/>
      <c r="H101" s="64"/>
    </row>
    <row r="102" spans="2:33">
      <c r="B102" s="36" t="s">
        <v>64</v>
      </c>
      <c r="C102" s="177" t="s">
        <v>501</v>
      </c>
      <c r="D102" s="155">
        <f>$AV$76-$AW$77</f>
        <v>112480</v>
      </c>
      <c r="E102" s="155">
        <f>$AV$8-$AW$8</f>
        <v>112480</v>
      </c>
      <c r="F102" s="37"/>
    </row>
    <row r="103" spans="2:33">
      <c r="B103" s="36" t="s">
        <v>339</v>
      </c>
      <c r="C103" s="177" t="s">
        <v>501</v>
      </c>
      <c r="D103" s="155">
        <f>$AX$76-$AY$77</f>
        <v>5000</v>
      </c>
      <c r="E103" s="155">
        <f>$AX$8-$AY$8</f>
        <v>5000</v>
      </c>
      <c r="F103" s="37"/>
    </row>
    <row r="104" spans="2:33">
      <c r="B104" s="36" t="s">
        <v>472</v>
      </c>
      <c r="D104" s="155">
        <f>$AR$76-$AS$77</f>
        <v>0</v>
      </c>
      <c r="E104" s="179" t="s">
        <v>473</v>
      </c>
      <c r="F104" s="37"/>
    </row>
    <row r="105" spans="2:33" ht="13.5" thickBot="1">
      <c r="B105" s="38" t="s">
        <v>66</v>
      </c>
      <c r="D105" s="156">
        <f>SUM(D101:D104)</f>
        <v>1067480</v>
      </c>
      <c r="E105" s="156">
        <f>SUM(E101:E104)</f>
        <v>1067480</v>
      </c>
      <c r="F105" s="37"/>
    </row>
    <row r="106" spans="2:33" ht="13.5" thickTop="1">
      <c r="B106" s="35"/>
      <c r="D106" s="77"/>
      <c r="E106" s="77"/>
      <c r="F106" s="37"/>
    </row>
    <row r="107" spans="2:33">
      <c r="B107" s="35"/>
      <c r="D107" s="77"/>
      <c r="E107" s="77"/>
      <c r="F107" s="37"/>
    </row>
    <row r="108" spans="2:33" ht="13.5" thickBot="1">
      <c r="B108" s="38" t="s">
        <v>67</v>
      </c>
      <c r="D108" s="156">
        <f>D96+D105</f>
        <v>2038345.85</v>
      </c>
      <c r="E108" s="156">
        <f>E96+E105</f>
        <v>2029084.96</v>
      </c>
      <c r="F108" s="37"/>
      <c r="AF108" s="75"/>
      <c r="AG108" s="75"/>
    </row>
    <row r="109" spans="2:33" ht="13.5" thickTop="1">
      <c r="B109" s="35"/>
      <c r="D109" s="77"/>
      <c r="E109" s="77"/>
      <c r="AF109" s="75"/>
      <c r="AG109" s="75"/>
    </row>
    <row r="110" spans="2:33">
      <c r="B110" s="35"/>
      <c r="D110" s="77"/>
      <c r="E110" s="77"/>
      <c r="AF110" s="75"/>
      <c r="AG110" s="75"/>
    </row>
    <row r="111" spans="2:33">
      <c r="B111" s="33" t="s">
        <v>68</v>
      </c>
      <c r="D111" s="77"/>
      <c r="E111" s="77"/>
      <c r="AF111" s="75"/>
      <c r="AG111" s="75"/>
    </row>
    <row r="112" spans="2:33">
      <c r="B112" s="35" t="s">
        <v>69</v>
      </c>
      <c r="C112" s="177" t="s">
        <v>486</v>
      </c>
      <c r="D112" s="155">
        <f>-$BN$76+$BO$77</f>
        <v>9626.9500000000007</v>
      </c>
      <c r="E112" s="155">
        <f>-$BN$8+$BO$8</f>
        <v>1086</v>
      </c>
      <c r="AF112" s="75"/>
      <c r="AG112" s="75"/>
    </row>
    <row r="113" spans="2:33">
      <c r="B113" s="36" t="s">
        <v>426</v>
      </c>
      <c r="D113" s="155">
        <f>-$BL$76+$BM$77</f>
        <v>0</v>
      </c>
      <c r="E113" s="155">
        <f>-$BL$8+$BM$8</f>
        <v>0</v>
      </c>
      <c r="AF113" s="75"/>
      <c r="AG113" s="75"/>
    </row>
    <row r="114" spans="2:33" ht="13.5" thickBot="1">
      <c r="B114" s="33" t="s">
        <v>70</v>
      </c>
      <c r="D114" s="156">
        <f>SUM(D112:D113)</f>
        <v>9626.9500000000007</v>
      </c>
      <c r="E114" s="156">
        <f>SUM(E112:E113)</f>
        <v>1086</v>
      </c>
      <c r="H114" s="34"/>
    </row>
    <row r="115" spans="2:33" ht="13.5" thickTop="1">
      <c r="B115" s="35"/>
      <c r="D115" s="77"/>
      <c r="E115" s="77"/>
      <c r="G115" s="152"/>
    </row>
    <row r="116" spans="2:33">
      <c r="B116" s="35"/>
      <c r="D116" s="77"/>
      <c r="E116" s="77"/>
    </row>
    <row r="117" spans="2:33">
      <c r="B117" s="33" t="s">
        <v>71</v>
      </c>
      <c r="D117" s="77"/>
      <c r="E117" s="77"/>
    </row>
    <row r="118" spans="2:33">
      <c r="B118" s="35" t="s">
        <v>72</v>
      </c>
      <c r="C118" s="177" t="s">
        <v>502</v>
      </c>
      <c r="D118" s="155">
        <f>-$AZ$76+$BA$77</f>
        <v>1067480</v>
      </c>
      <c r="E118" s="155">
        <f>-$AZ$8+$BA$8</f>
        <v>1067480</v>
      </c>
      <c r="F118" s="77"/>
      <c r="H118" s="77"/>
    </row>
    <row r="119" spans="2:33">
      <c r="B119" s="36" t="s">
        <v>73</v>
      </c>
      <c r="C119" s="177" t="s">
        <v>502</v>
      </c>
      <c r="D119" s="155">
        <f>-$BB$76+$BC$77</f>
        <v>705024.66800000006</v>
      </c>
      <c r="E119" s="155">
        <f>-$BB$8+$BC$8</f>
        <v>705024.66800000006</v>
      </c>
    </row>
    <row r="120" spans="2:33">
      <c r="B120" s="36" t="s">
        <v>74</v>
      </c>
      <c r="C120" s="177" t="s">
        <v>502</v>
      </c>
      <c r="D120" s="155">
        <f>-$BD$76+$BE$77</f>
        <v>255494.29199999999</v>
      </c>
      <c r="E120" s="155">
        <f>-$BD$8+$BE$8</f>
        <v>255494.29199999999</v>
      </c>
      <c r="F120" s="39"/>
    </row>
    <row r="121" spans="2:33" ht="13.5" thickBot="1">
      <c r="B121" s="38" t="s">
        <v>75</v>
      </c>
      <c r="D121" s="156">
        <f>SUM(D118:D120)</f>
        <v>2027998.96</v>
      </c>
      <c r="E121" s="156">
        <f>SUM(E118:E120)</f>
        <v>2027998.96</v>
      </c>
      <c r="F121" s="66"/>
    </row>
    <row r="122" spans="2:33" ht="13.5" thickTop="1">
      <c r="B122" s="35"/>
      <c r="D122" s="77"/>
      <c r="E122" s="77"/>
    </row>
    <row r="123" spans="2:33">
      <c r="B123" s="33" t="s">
        <v>76</v>
      </c>
      <c r="D123" s="77"/>
      <c r="E123" s="77"/>
      <c r="F123" s="77"/>
    </row>
    <row r="124" spans="2:33">
      <c r="B124" s="36" t="s">
        <v>369</v>
      </c>
      <c r="D124" s="155">
        <f>D108-D114-D121</f>
        <v>719.94000000017695</v>
      </c>
      <c r="E124" s="155">
        <v>0</v>
      </c>
      <c r="F124" s="41"/>
    </row>
    <row r="125" spans="2:33">
      <c r="B125" s="35"/>
      <c r="D125" s="77"/>
      <c r="E125" s="77"/>
    </row>
    <row r="126" spans="2:33" ht="13.5" thickBot="1">
      <c r="B126" s="33" t="s">
        <v>77</v>
      </c>
      <c r="D126" s="156">
        <f>D114+D121+D124</f>
        <v>2038345.85</v>
      </c>
      <c r="E126" s="156">
        <f>E114+E121+E124</f>
        <v>2029084.96</v>
      </c>
    </row>
    <row r="127" spans="2:33" ht="13.5" thickTop="1">
      <c r="B127" s="35"/>
      <c r="D127" s="77"/>
      <c r="E127" s="77"/>
    </row>
    <row r="128" spans="2:33">
      <c r="D128" s="77"/>
      <c r="E128" s="77"/>
    </row>
    <row r="129" spans="2:31" ht="24.75">
      <c r="B129" s="147" t="s">
        <v>524</v>
      </c>
      <c r="D129" s="77"/>
      <c r="E129" s="77"/>
    </row>
    <row r="130" spans="2:31">
      <c r="D130" s="77"/>
      <c r="E130" s="77"/>
      <c r="F130" s="35"/>
      <c r="G130" s="73"/>
    </row>
    <row r="131" spans="2:31" ht="19.5">
      <c r="B131" s="148" t="s">
        <v>313</v>
      </c>
      <c r="C131" s="148"/>
      <c r="D131" s="148">
        <v>2010</v>
      </c>
      <c r="E131" s="148">
        <v>2009</v>
      </c>
      <c r="F131" s="148" t="s">
        <v>439</v>
      </c>
      <c r="G131" s="149" t="s">
        <v>314</v>
      </c>
      <c r="H131" s="150" t="s">
        <v>315</v>
      </c>
      <c r="I131" s="148" t="s">
        <v>525</v>
      </c>
    </row>
    <row r="132" spans="2:31">
      <c r="B132" s="34" t="s">
        <v>153</v>
      </c>
      <c r="D132" s="77"/>
      <c r="E132" s="77"/>
      <c r="F132" s="35"/>
      <c r="G132" s="35"/>
    </row>
    <row r="133" spans="2:31">
      <c r="B133" t="s">
        <v>154</v>
      </c>
      <c r="D133" s="155">
        <f>-$AF$76+$AG$77</f>
        <v>22800</v>
      </c>
      <c r="E133" s="155">
        <v>21600</v>
      </c>
      <c r="F133" s="155">
        <v>22000</v>
      </c>
      <c r="G133" s="155">
        <f>D133-F133</f>
        <v>800</v>
      </c>
      <c r="H133" s="151">
        <f>IF(F133=0,"---",G133/F133)</f>
        <v>3.6363636363636362E-2</v>
      </c>
      <c r="I133" s="155">
        <v>22000</v>
      </c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</row>
    <row r="134" spans="2:31">
      <c r="B134" t="s">
        <v>155</v>
      </c>
      <c r="C134" s="177" t="s">
        <v>378</v>
      </c>
      <c r="D134" s="155">
        <f>-$AJ$76+$AK$77</f>
        <v>10855.4</v>
      </c>
      <c r="E134" s="155">
        <v>31071</v>
      </c>
      <c r="F134" s="155">
        <v>32000</v>
      </c>
      <c r="G134" s="155">
        <f>D134-F134</f>
        <v>-21144.6</v>
      </c>
      <c r="H134" s="151">
        <f>IF(F134=0,"---",G134/F134)</f>
        <v>-0.6607687499999999</v>
      </c>
      <c r="I134" s="155">
        <v>0</v>
      </c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</row>
    <row r="135" spans="2:31">
      <c r="B135" t="s">
        <v>553</v>
      </c>
      <c r="D135" s="155">
        <f>-$AL$76+$AM$77</f>
        <v>936.49</v>
      </c>
      <c r="E135" s="155">
        <v>30.88</v>
      </c>
      <c r="F135" s="155">
        <v>0</v>
      </c>
      <c r="G135" s="155">
        <f>D135-F135</f>
        <v>936.49</v>
      </c>
      <c r="H135" s="151" t="str">
        <f>IF(F135=0,"---",G135/F135)</f>
        <v>---</v>
      </c>
      <c r="I135" s="155">
        <v>13000</v>
      </c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</row>
    <row r="136" spans="2:31">
      <c r="B136" s="79" t="s">
        <v>355</v>
      </c>
      <c r="D136" s="155">
        <f>-$AN$76+$AO$77</f>
        <v>0</v>
      </c>
      <c r="E136" s="155">
        <v>0</v>
      </c>
      <c r="F136" s="155">
        <v>0</v>
      </c>
      <c r="G136" s="155">
        <f>D136-F136</f>
        <v>0</v>
      </c>
      <c r="H136" s="151" t="str">
        <f>IF(F136=0,"---",G136/F136)</f>
        <v>---</v>
      </c>
      <c r="I136" s="155">
        <v>0</v>
      </c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</row>
    <row r="137" spans="2:31" ht="16.5" thickBot="1">
      <c r="B137" s="154" t="s">
        <v>158</v>
      </c>
      <c r="C137" s="154"/>
      <c r="D137" s="156">
        <f>SUM(D133:D136)</f>
        <v>34591.89</v>
      </c>
      <c r="E137" s="156">
        <f>SUM(E133:E136)</f>
        <v>52701.88</v>
      </c>
      <c r="F137" s="156">
        <f>SUM(F133:F136)</f>
        <v>54000</v>
      </c>
      <c r="G137" s="156">
        <f>SUM(G133:G136)</f>
        <v>-19408.109999999997</v>
      </c>
      <c r="H137" s="153">
        <f>IF(F137=0,"---",G137/F137)</f>
        <v>-0.35940944444444439</v>
      </c>
      <c r="I137" s="156">
        <f>SUM(I133:I136)</f>
        <v>35000</v>
      </c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</row>
    <row r="138" spans="2:31" ht="13.5" thickTop="1">
      <c r="D138" s="77"/>
      <c r="E138" s="77"/>
      <c r="F138" s="77"/>
      <c r="G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</row>
    <row r="139" spans="2:31">
      <c r="B139" s="34" t="s">
        <v>159</v>
      </c>
      <c r="D139" s="77"/>
      <c r="E139" s="77"/>
      <c r="F139" s="77"/>
      <c r="G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</row>
    <row r="140" spans="2:31">
      <c r="B140" t="s">
        <v>485</v>
      </c>
      <c r="C140" s="177" t="s">
        <v>428</v>
      </c>
      <c r="D140" s="155">
        <f>$H$76-$I$77</f>
        <v>5000</v>
      </c>
      <c r="E140" s="155">
        <v>0</v>
      </c>
      <c r="F140" s="155">
        <v>10000</v>
      </c>
      <c r="G140" s="155">
        <f>D140-F140</f>
        <v>-5000</v>
      </c>
      <c r="H140" s="151">
        <f t="shared" ref="H140:H153" si="1">IF(F140=0,"---",G140/F140)</f>
        <v>-0.5</v>
      </c>
      <c r="I140" s="155">
        <v>10000</v>
      </c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</row>
    <row r="141" spans="2:31">
      <c r="B141" t="s">
        <v>487</v>
      </c>
      <c r="C141" s="177" t="s">
        <v>379</v>
      </c>
      <c r="D141" s="155">
        <f>$J$76-$K$77</f>
        <v>14726.5</v>
      </c>
      <c r="E141" s="155">
        <v>0</v>
      </c>
      <c r="F141" s="155">
        <v>5000</v>
      </c>
      <c r="G141" s="155">
        <f t="shared" ref="G141:G152" si="2">D141-F141</f>
        <v>9726.5</v>
      </c>
      <c r="H141" s="151">
        <f t="shared" si="1"/>
        <v>1.9453</v>
      </c>
      <c r="I141" s="155">
        <v>5000</v>
      </c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</row>
    <row r="142" spans="2:31">
      <c r="B142" t="s">
        <v>488</v>
      </c>
      <c r="C142" s="177" t="s">
        <v>380</v>
      </c>
      <c r="D142" s="155">
        <f>$L$76-$M$77</f>
        <v>5212</v>
      </c>
      <c r="E142" s="155">
        <v>5203</v>
      </c>
      <c r="F142" s="155">
        <v>7000</v>
      </c>
      <c r="G142" s="155">
        <f t="shared" si="2"/>
        <v>-1788</v>
      </c>
      <c r="H142" s="151">
        <f t="shared" si="1"/>
        <v>-0.25542857142857145</v>
      </c>
      <c r="I142" s="155">
        <v>10500</v>
      </c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</row>
    <row r="143" spans="2:31">
      <c r="B143" t="s">
        <v>163</v>
      </c>
      <c r="C143" s="177"/>
      <c r="D143" s="155">
        <f>$N$76-$O$77</f>
        <v>1568.95</v>
      </c>
      <c r="E143" s="155">
        <v>4850</v>
      </c>
      <c r="F143" s="155">
        <v>10000</v>
      </c>
      <c r="G143" s="155">
        <f t="shared" si="2"/>
        <v>-8431.0499999999993</v>
      </c>
      <c r="H143" s="151">
        <f t="shared" si="1"/>
        <v>-0.84310499999999988</v>
      </c>
      <c r="I143" s="155">
        <v>15000</v>
      </c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</row>
    <row r="144" spans="2:31">
      <c r="B144" t="s">
        <v>321</v>
      </c>
      <c r="D144" s="155">
        <f>$P$76-$Q$77</f>
        <v>0</v>
      </c>
      <c r="E144" s="155">
        <v>1160</v>
      </c>
      <c r="F144" s="155">
        <v>1200</v>
      </c>
      <c r="G144" s="155">
        <f t="shared" si="2"/>
        <v>-1200</v>
      </c>
      <c r="H144" s="151">
        <f t="shared" si="1"/>
        <v>-1</v>
      </c>
      <c r="I144" s="155">
        <v>1200</v>
      </c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</row>
    <row r="145" spans="2:31">
      <c r="B145" t="s">
        <v>95</v>
      </c>
      <c r="D145" s="155">
        <f>$R$76-$S$77</f>
        <v>2316</v>
      </c>
      <c r="E145" s="155">
        <v>2316</v>
      </c>
      <c r="F145" s="155">
        <v>2500</v>
      </c>
      <c r="G145" s="155">
        <f t="shared" si="2"/>
        <v>-184</v>
      </c>
      <c r="H145" s="151">
        <f t="shared" si="1"/>
        <v>-7.3599999999999999E-2</v>
      </c>
      <c r="I145" s="155">
        <v>2500</v>
      </c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</row>
    <row r="146" spans="2:31">
      <c r="B146" t="s">
        <v>166</v>
      </c>
      <c r="C146" s="177" t="s">
        <v>430</v>
      </c>
      <c r="D146" s="155">
        <f>$T$76-$U$77</f>
        <v>2313.5</v>
      </c>
      <c r="E146" s="155">
        <v>8969.7799999999988</v>
      </c>
      <c r="F146" s="155">
        <v>12000</v>
      </c>
      <c r="G146" s="155">
        <f t="shared" si="2"/>
        <v>-9686.5</v>
      </c>
      <c r="H146" s="151">
        <f t="shared" si="1"/>
        <v>-0.80720833333333331</v>
      </c>
      <c r="I146" s="155">
        <v>3500</v>
      </c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</row>
    <row r="147" spans="2:31">
      <c r="B147" t="s">
        <v>169</v>
      </c>
      <c r="D147" s="155">
        <f>$V$76-$W$77</f>
        <v>2500</v>
      </c>
      <c r="E147" s="155">
        <v>2500</v>
      </c>
      <c r="F147" s="155">
        <v>2500</v>
      </c>
      <c r="G147" s="155">
        <f t="shared" si="2"/>
        <v>0</v>
      </c>
      <c r="H147" s="151">
        <f t="shared" si="1"/>
        <v>0</v>
      </c>
      <c r="I147" s="155">
        <v>2500</v>
      </c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</row>
    <row r="148" spans="2:31">
      <c r="B148" t="s">
        <v>170</v>
      </c>
      <c r="D148" s="155">
        <f>$X$76-$Y$77</f>
        <v>235</v>
      </c>
      <c r="E148" s="155">
        <v>315</v>
      </c>
      <c r="F148" s="155">
        <v>500</v>
      </c>
      <c r="G148" s="155">
        <f t="shared" si="2"/>
        <v>-265</v>
      </c>
      <c r="H148" s="151">
        <f t="shared" si="1"/>
        <v>-0.53</v>
      </c>
      <c r="I148" s="155">
        <v>250</v>
      </c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</row>
    <row r="149" spans="2:31">
      <c r="B149" t="s">
        <v>422</v>
      </c>
      <c r="C149" s="177"/>
      <c r="D149" s="155">
        <f>$AB$76-$AC$77</f>
        <v>0</v>
      </c>
      <c r="E149" s="155">
        <v>9093</v>
      </c>
      <c r="F149" s="155">
        <v>0</v>
      </c>
      <c r="G149" s="155">
        <f>D149-F149</f>
        <v>0</v>
      </c>
      <c r="H149" s="151" t="str">
        <f>IF(F149=0,"---",G149/F149)</f>
        <v>---</v>
      </c>
      <c r="I149" s="155">
        <v>0</v>
      </c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</row>
    <row r="150" spans="2:31">
      <c r="B150" t="s">
        <v>427</v>
      </c>
      <c r="C150" s="177"/>
      <c r="D150" s="155">
        <f>$Z$76-$AA$77</f>
        <v>0</v>
      </c>
      <c r="E150" s="155">
        <v>10000</v>
      </c>
      <c r="F150" s="155">
        <v>0</v>
      </c>
      <c r="G150" s="155">
        <f>D150-F150</f>
        <v>0</v>
      </c>
      <c r="H150" s="151" t="str">
        <f>IF(F150=0,"---",G150/F150)</f>
        <v>---</v>
      </c>
      <c r="I150" s="155">
        <v>0</v>
      </c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</row>
    <row r="151" spans="2:31">
      <c r="B151" t="s">
        <v>567</v>
      </c>
      <c r="C151" s="177"/>
      <c r="D151" s="155">
        <v>0</v>
      </c>
      <c r="E151" s="155">
        <v>0</v>
      </c>
      <c r="F151" s="155">
        <v>10000</v>
      </c>
      <c r="G151" s="155"/>
      <c r="H151" s="151"/>
      <c r="I151" s="155">
        <v>10000</v>
      </c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</row>
    <row r="152" spans="2:31">
      <c r="B152" t="s">
        <v>381</v>
      </c>
      <c r="C152" s="177"/>
      <c r="D152" s="155">
        <f>$AD$76-$AE$77</f>
        <v>0</v>
      </c>
      <c r="E152" s="155">
        <v>4935</v>
      </c>
      <c r="F152" s="155">
        <v>0</v>
      </c>
      <c r="G152" s="155">
        <f t="shared" si="2"/>
        <v>0</v>
      </c>
      <c r="H152" s="151" t="str">
        <f t="shared" si="1"/>
        <v>---</v>
      </c>
      <c r="I152" s="155">
        <v>0</v>
      </c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</row>
    <row r="153" spans="2:31" ht="16.5" thickBot="1">
      <c r="B153" s="154" t="s">
        <v>171</v>
      </c>
      <c r="C153" s="154"/>
      <c r="D153" s="156">
        <f>SUM(D140:D152)</f>
        <v>33871.949999999997</v>
      </c>
      <c r="E153" s="156">
        <f>SUM(E140:E152)</f>
        <v>49341.78</v>
      </c>
      <c r="F153" s="156">
        <f>SUM(F140:F152)</f>
        <v>60700</v>
      </c>
      <c r="G153" s="156">
        <f>SUM(G140:G152)</f>
        <v>-16828.05</v>
      </c>
      <c r="H153" s="153">
        <f t="shared" si="1"/>
        <v>-0.2772331136738056</v>
      </c>
      <c r="I153" s="156">
        <f>SUM(I140:I152)</f>
        <v>60450</v>
      </c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</row>
    <row r="154" spans="2:31" ht="13.5" thickTop="1"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</row>
    <row r="155" spans="2:31" ht="16.5" thickBot="1">
      <c r="B155" s="154" t="s">
        <v>141</v>
      </c>
      <c r="C155" s="154"/>
      <c r="D155" s="156">
        <f>D137-D153</f>
        <v>719.94000000000233</v>
      </c>
      <c r="E155" s="156">
        <f>E137-E153</f>
        <v>3360.0999999999985</v>
      </c>
      <c r="F155" s="156">
        <f>F137-F153</f>
        <v>-6700</v>
      </c>
      <c r="G155" s="156">
        <f>G137-G153</f>
        <v>-2580.0599999999977</v>
      </c>
      <c r="H155" s="153">
        <f>IF(F155=0,"---",G155/F155)</f>
        <v>0.3850835820895519</v>
      </c>
      <c r="I155" s="156">
        <f>I137-I153</f>
        <v>-25450</v>
      </c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</row>
    <row r="156" spans="2:31" ht="13.5" thickTop="1">
      <c r="D156" s="77"/>
      <c r="E156" s="77"/>
      <c r="F156" s="77"/>
      <c r="G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</row>
    <row r="157" spans="2:31">
      <c r="B157" s="34" t="s">
        <v>172</v>
      </c>
      <c r="D157" s="77"/>
      <c r="E157" s="77"/>
      <c r="F157" s="77"/>
      <c r="G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</row>
    <row r="158" spans="2:31">
      <c r="B158" t="s">
        <v>173</v>
      </c>
      <c r="D158" s="155">
        <f>SUM(D134:D135)*0.2</f>
        <v>2358.3780000000002</v>
      </c>
      <c r="E158" s="155">
        <v>6220.3760000000002</v>
      </c>
      <c r="F158" s="155">
        <f>SUM(F134:F135)*0.2</f>
        <v>6400</v>
      </c>
      <c r="G158" s="155">
        <f>D158-F158</f>
        <v>-4041.6219999999998</v>
      </c>
      <c r="H158" s="151">
        <f>IF(F158=0,"---",G158/F158)</f>
        <v>-0.63150343749999993</v>
      </c>
      <c r="I158" s="155">
        <f>SUM(I134:I135)*0.2</f>
        <v>2600</v>
      </c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</row>
    <row r="159" spans="2:31">
      <c r="B159" t="s">
        <v>174</v>
      </c>
      <c r="D159" s="155">
        <f>D155-D158</f>
        <v>-1638.4379999999978</v>
      </c>
      <c r="E159" s="155">
        <v>-2860.2760000000017</v>
      </c>
      <c r="F159" s="155">
        <f>F155-F158</f>
        <v>-13100</v>
      </c>
      <c r="G159" s="155">
        <f>D159-F159</f>
        <v>11461.562000000002</v>
      </c>
      <c r="H159" s="151">
        <f>IF(F159=0,"---",G159/F159)</f>
        <v>-0.87492839694656499</v>
      </c>
      <c r="I159" s="155">
        <f>I155-I158</f>
        <v>-28050</v>
      </c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</row>
    <row r="160" spans="2:31" ht="16.5" thickBot="1">
      <c r="B160" s="154" t="s">
        <v>175</v>
      </c>
      <c r="C160" s="154"/>
      <c r="D160" s="156">
        <f>SUM(D158:D159)</f>
        <v>719.94000000000233</v>
      </c>
      <c r="E160" s="156">
        <f>SUM(E158:E159)</f>
        <v>3360.0999999999985</v>
      </c>
      <c r="F160" s="156">
        <f>SUM(F158:F159)</f>
        <v>-6700</v>
      </c>
      <c r="G160" s="156">
        <f>D160-F160</f>
        <v>7419.9400000000023</v>
      </c>
      <c r="H160" s="153">
        <f>IF(F160=0,"---",G160/F160)</f>
        <v>-1.107453731343284</v>
      </c>
      <c r="I160" s="156">
        <f>SUM(I158:I159)</f>
        <v>-25450</v>
      </c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</row>
    <row r="161" spans="2:6" ht="13.5" thickTop="1"/>
    <row r="162" spans="2:6">
      <c r="F162" s="113"/>
    </row>
    <row r="163" spans="2:6">
      <c r="D163" s="79" t="str">
        <f>IF(AND(D124-D160&lt;1,D124-D160&gt;-1),"OK","FEIL !!")</f>
        <v>OK</v>
      </c>
      <c r="F163" s="113"/>
    </row>
    <row r="164" spans="2:6">
      <c r="F164" s="77"/>
    </row>
    <row r="165" spans="2:6">
      <c r="B165" s="34" t="s">
        <v>505</v>
      </c>
      <c r="D165" s="77"/>
      <c r="F165" s="77"/>
    </row>
    <row r="166" spans="2:6">
      <c r="D166" s="77"/>
      <c r="F166" s="77"/>
    </row>
    <row r="167" spans="2:6">
      <c r="B167" s="177" t="s">
        <v>378</v>
      </c>
      <c r="D167" s="77"/>
      <c r="F167" s="77"/>
    </row>
    <row r="168" spans="2:6">
      <c r="B168" s="79" t="s">
        <v>557</v>
      </c>
      <c r="F168" s="77"/>
    </row>
    <row r="169" spans="2:6">
      <c r="B169" s="79" t="s">
        <v>558</v>
      </c>
      <c r="D169" s="77"/>
    </row>
    <row r="170" spans="2:6">
      <c r="B170" s="79" t="s">
        <v>559</v>
      </c>
      <c r="D170" s="77"/>
      <c r="F170" s="77"/>
    </row>
    <row r="171" spans="2:6">
      <c r="D171" s="77"/>
      <c r="F171" s="77"/>
    </row>
    <row r="172" spans="2:6">
      <c r="B172" s="177" t="s">
        <v>379</v>
      </c>
      <c r="D172" s="77"/>
      <c r="F172" s="77"/>
    </row>
    <row r="173" spans="2:6">
      <c r="B173" s="79" t="s">
        <v>560</v>
      </c>
      <c r="D173" s="77"/>
      <c r="F173" s="77"/>
    </row>
    <row r="174" spans="2:6">
      <c r="B174" s="79" t="s">
        <v>561</v>
      </c>
      <c r="D174" s="77"/>
      <c r="F174" s="77"/>
    </row>
    <row r="175" spans="2:6">
      <c r="D175" s="77"/>
      <c r="F175" s="77"/>
    </row>
    <row r="176" spans="2:6">
      <c r="B176" s="177" t="s">
        <v>380</v>
      </c>
      <c r="C176" s="82"/>
      <c r="D176" s="201"/>
      <c r="E176" s="65"/>
    </row>
    <row r="177" spans="2:31">
      <c r="B177" s="34" t="s">
        <v>568</v>
      </c>
      <c r="C177" s="82"/>
      <c r="D177" s="201"/>
      <c r="E177" s="65"/>
    </row>
    <row r="178" spans="2:31">
      <c r="B178" s="79" t="s">
        <v>541</v>
      </c>
      <c r="C178" s="82"/>
      <c r="D178" s="64">
        <v>2390</v>
      </c>
      <c r="E178" s="64"/>
      <c r="F178" s="77"/>
    </row>
    <row r="179" spans="2:31">
      <c r="B179" s="79" t="s">
        <v>542</v>
      </c>
      <c r="C179" s="82"/>
      <c r="D179" s="64">
        <f>-1502-6100</f>
        <v>-7602</v>
      </c>
      <c r="E179" s="64"/>
      <c r="F179" s="77"/>
    </row>
    <row r="180" spans="2:31" ht="13.5" thickBot="1">
      <c r="B180" s="199" t="s">
        <v>197</v>
      </c>
      <c r="C180" s="200"/>
      <c r="D180" s="175">
        <f>SUM(D178:D179)</f>
        <v>-5212</v>
      </c>
      <c r="F180" s="77"/>
    </row>
    <row r="181" spans="2:31" ht="13.5" thickTop="1">
      <c r="B181" s="34"/>
      <c r="C181" s="34"/>
      <c r="D181" s="77"/>
      <c r="F181" s="77"/>
    </row>
    <row r="182" spans="2:31">
      <c r="B182" s="177" t="s">
        <v>428</v>
      </c>
      <c r="D182" s="77"/>
      <c r="F182" s="77"/>
    </row>
    <row r="183" spans="2:31">
      <c r="B183" s="34" t="s">
        <v>562</v>
      </c>
      <c r="D183" s="77"/>
      <c r="F183" s="77"/>
    </row>
    <row r="184" spans="2:31">
      <c r="B184" s="79" t="s">
        <v>563</v>
      </c>
      <c r="D184" s="77">
        <v>5000</v>
      </c>
      <c r="F184" s="77"/>
    </row>
    <row r="185" spans="2:31" ht="13.5" thickBot="1">
      <c r="B185" s="199" t="s">
        <v>197</v>
      </c>
      <c r="C185" s="200"/>
      <c r="D185" s="175">
        <f>SUM(D184:D184)</f>
        <v>5000</v>
      </c>
      <c r="F185" s="77"/>
    </row>
    <row r="186" spans="2:31" ht="13.5" thickTop="1">
      <c r="D186" s="77"/>
      <c r="F186" s="77"/>
    </row>
    <row r="187" spans="2:31">
      <c r="B187" s="177" t="s">
        <v>430</v>
      </c>
      <c r="D187" s="77"/>
    </row>
    <row r="188" spans="2:31">
      <c r="B188" s="34" t="s">
        <v>166</v>
      </c>
      <c r="D188" s="77" t="s">
        <v>415</v>
      </c>
    </row>
    <row r="189" spans="2:31">
      <c r="B189" s="79" t="s">
        <v>564</v>
      </c>
      <c r="D189" s="77">
        <v>194</v>
      </c>
    </row>
    <row r="190" spans="2:31">
      <c r="B190" s="79" t="s">
        <v>565</v>
      </c>
      <c r="D190" s="77">
        <v>1470</v>
      </c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</row>
    <row r="191" spans="2:31">
      <c r="B191" s="79" t="s">
        <v>566</v>
      </c>
      <c r="D191" s="77">
        <v>200</v>
      </c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</row>
    <row r="192" spans="2:31">
      <c r="B192" s="79" t="s">
        <v>554</v>
      </c>
      <c r="D192" s="77">
        <v>450</v>
      </c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</row>
    <row r="193" spans="2:31" ht="13.5" thickBot="1">
      <c r="B193" s="199" t="s">
        <v>197</v>
      </c>
      <c r="C193" s="200"/>
      <c r="D193" s="175">
        <f>SUM(D189:D192)</f>
        <v>2314</v>
      </c>
      <c r="F193" s="34"/>
      <c r="G193" s="82"/>
      <c r="H193" s="82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</row>
    <row r="194" spans="2:31" ht="13.5" thickTop="1">
      <c r="D194" s="77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</row>
    <row r="195" spans="2:31">
      <c r="B195" s="177" t="s">
        <v>486</v>
      </c>
      <c r="D195" s="77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</row>
    <row r="196" spans="2:31">
      <c r="B196" s="34" t="s">
        <v>69</v>
      </c>
      <c r="D196" s="77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</row>
    <row r="197" spans="2:31">
      <c r="B197" s="79" t="s">
        <v>569</v>
      </c>
      <c r="D197" s="77">
        <v>5000</v>
      </c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</row>
    <row r="198" spans="2:31">
      <c r="B198" s="79" t="s">
        <v>570</v>
      </c>
      <c r="D198" s="77">
        <v>4627</v>
      </c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</row>
    <row r="199" spans="2:31">
      <c r="B199" s="79" t="s">
        <v>571</v>
      </c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</row>
    <row r="200" spans="2:31">
      <c r="B200" s="79" t="s">
        <v>572</v>
      </c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</row>
    <row r="201" spans="2:31" ht="13.5" thickBot="1">
      <c r="B201" s="199" t="s">
        <v>197</v>
      </c>
      <c r="C201" s="200"/>
      <c r="D201" s="175">
        <v>9627</v>
      </c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</row>
    <row r="202" spans="2:31" ht="13.5" thickTop="1">
      <c r="D202" s="77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</row>
    <row r="203" spans="2:31">
      <c r="B203" s="177" t="s">
        <v>501</v>
      </c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</row>
    <row r="204" spans="2:31">
      <c r="B204" s="34" t="s">
        <v>573</v>
      </c>
    </row>
    <row r="205" spans="2:31">
      <c r="B205" s="79" t="s">
        <v>574</v>
      </c>
      <c r="D205" s="77">
        <v>950000</v>
      </c>
    </row>
    <row r="206" spans="2:31">
      <c r="B206" s="79" t="s">
        <v>575</v>
      </c>
    </row>
    <row r="207" spans="2:31">
      <c r="B207" s="79" t="s">
        <v>576</v>
      </c>
    </row>
    <row r="208" spans="2:31">
      <c r="B208" s="79" t="s">
        <v>577</v>
      </c>
    </row>
    <row r="210" spans="2:4">
      <c r="B210" s="79" t="s">
        <v>586</v>
      </c>
      <c r="D210" s="77">
        <v>112480</v>
      </c>
    </row>
    <row r="211" spans="2:4" s="254" customFormat="1">
      <c r="B211" s="79" t="s">
        <v>587</v>
      </c>
    </row>
    <row r="212" spans="2:4">
      <c r="B212" s="79" t="s">
        <v>578</v>
      </c>
    </row>
    <row r="214" spans="2:4">
      <c r="B214" s="79" t="s">
        <v>585</v>
      </c>
      <c r="D214" s="77">
        <v>5000</v>
      </c>
    </row>
    <row r="215" spans="2:4">
      <c r="B215" s="79" t="s">
        <v>579</v>
      </c>
    </row>
    <row r="216" spans="2:4">
      <c r="B216" s="79" t="s">
        <v>580</v>
      </c>
    </row>
    <row r="217" spans="2:4" ht="13.5" thickBot="1">
      <c r="B217" s="199" t="s">
        <v>197</v>
      </c>
      <c r="C217" s="255"/>
      <c r="D217" s="175">
        <v>1067480</v>
      </c>
    </row>
    <row r="218" spans="2:4" ht="13.5" thickTop="1">
      <c r="B218" s="256"/>
      <c r="D218" s="77"/>
    </row>
    <row r="220" spans="2:4">
      <c r="B220" s="177" t="s">
        <v>502</v>
      </c>
    </row>
    <row r="221" spans="2:4">
      <c r="B221" s="34" t="s">
        <v>581</v>
      </c>
    </row>
    <row r="222" spans="2:4">
      <c r="B222" s="79" t="s">
        <v>582</v>
      </c>
      <c r="D222" s="77">
        <v>1067480</v>
      </c>
    </row>
    <row r="223" spans="2:4">
      <c r="B223" s="79" t="s">
        <v>583</v>
      </c>
      <c r="D223" s="77">
        <v>705025</v>
      </c>
    </row>
    <row r="224" spans="2:4">
      <c r="B224" s="79" t="s">
        <v>584</v>
      </c>
      <c r="D224" s="77">
        <v>255494</v>
      </c>
    </row>
    <row r="225" spans="2:4" ht="13.5" thickBot="1">
      <c r="B225" s="199" t="s">
        <v>197</v>
      </c>
      <c r="C225" s="200"/>
      <c r="D225" s="175">
        <v>2027999</v>
      </c>
    </row>
    <row r="226" spans="2:4" ht="13.5" thickTop="1"/>
    <row r="260" spans="2:4">
      <c r="B260" s="177"/>
      <c r="D260" s="77"/>
    </row>
    <row r="308" spans="2:4">
      <c r="D308" s="77"/>
    </row>
    <row r="309" spans="2:4">
      <c r="B309" s="177"/>
      <c r="D309" s="77"/>
    </row>
    <row r="310" spans="2:4">
      <c r="B310" s="34"/>
      <c r="D310" s="77"/>
    </row>
    <row r="311" spans="2:4">
      <c r="D311" s="77"/>
    </row>
    <row r="312" spans="2:4">
      <c r="D312" s="77"/>
    </row>
    <row r="313" spans="2:4">
      <c r="B313" s="254"/>
      <c r="D313" s="77"/>
    </row>
    <row r="316" spans="2:4">
      <c r="B316" s="177"/>
      <c r="D316" s="77"/>
    </row>
    <row r="317" spans="2:4">
      <c r="B317" s="34"/>
      <c r="D317" s="77"/>
    </row>
    <row r="318" spans="2:4">
      <c r="B318" s="79"/>
      <c r="C318" s="34"/>
      <c r="D318" s="77"/>
    </row>
    <row r="319" spans="2:4">
      <c r="B319" s="79"/>
      <c r="D319" s="77"/>
    </row>
    <row r="320" spans="2:4">
      <c r="B320" s="79"/>
      <c r="C320" s="34"/>
      <c r="D320" s="77"/>
    </row>
    <row r="321" spans="2:4" ht="13.5" thickBot="1">
      <c r="B321" s="34"/>
      <c r="C321" s="82"/>
      <c r="D321" s="175"/>
    </row>
    <row r="322" spans="2:4" ht="13.5" thickTop="1">
      <c r="B322" s="79"/>
      <c r="D322" s="77"/>
    </row>
    <row r="323" spans="2:4">
      <c r="D323" s="77"/>
    </row>
    <row r="324" spans="2:4">
      <c r="B324" s="177"/>
      <c r="D324" s="77"/>
    </row>
    <row r="325" spans="2:4">
      <c r="B325" s="38"/>
      <c r="D325" s="77"/>
    </row>
    <row r="326" spans="2:4">
      <c r="B326" s="79"/>
      <c r="D326" s="77"/>
    </row>
    <row r="327" spans="2:4" ht="13.5" thickBot="1">
      <c r="B327" s="199"/>
      <c r="C327" s="200"/>
      <c r="D327" s="175"/>
    </row>
    <row r="328" spans="2:4" ht="13.5" thickTop="1">
      <c r="D328" s="77"/>
    </row>
    <row r="329" spans="2:4">
      <c r="B329" s="177"/>
      <c r="D329" s="77"/>
    </row>
    <row r="330" spans="2:4">
      <c r="B330" s="34"/>
      <c r="D330" s="77"/>
    </row>
    <row r="331" spans="2:4">
      <c r="B331" s="79"/>
      <c r="D331" s="77"/>
    </row>
    <row r="332" spans="2:4" ht="13.5" thickBot="1">
      <c r="B332" s="199"/>
      <c r="C332" s="200"/>
      <c r="D332" s="175"/>
    </row>
    <row r="333" spans="2:4" ht="13.5" thickTop="1">
      <c r="D333" s="77"/>
    </row>
  </sheetData>
  <mergeCells count="67">
    <mergeCell ref="A1:C1"/>
    <mergeCell ref="AT5:AU5"/>
    <mergeCell ref="AT6:AU6"/>
    <mergeCell ref="AP5:AQ5"/>
    <mergeCell ref="AP6:AQ6"/>
    <mergeCell ref="AH5:AI5"/>
    <mergeCell ref="AH6:AI6"/>
    <mergeCell ref="AN6:AO6"/>
    <mergeCell ref="AR6:AS6"/>
    <mergeCell ref="N6:O6"/>
    <mergeCell ref="Z6:AA6"/>
    <mergeCell ref="AB6:AC6"/>
    <mergeCell ref="AD6:AE6"/>
    <mergeCell ref="AF6:AG6"/>
    <mergeCell ref="AJ6:AK6"/>
    <mergeCell ref="AL6:AM6"/>
    <mergeCell ref="AZ5:BA5"/>
    <mergeCell ref="AZ6:BA6"/>
    <mergeCell ref="AX5:AY5"/>
    <mergeCell ref="AX6:AY6"/>
    <mergeCell ref="AV5:AW5"/>
    <mergeCell ref="AV6:AW6"/>
    <mergeCell ref="BB5:BC5"/>
    <mergeCell ref="BB6:BC6"/>
    <mergeCell ref="BH6:BI6"/>
    <mergeCell ref="BJ6:BK6"/>
    <mergeCell ref="BP6:BQ6"/>
    <mergeCell ref="BF6:BG6"/>
    <mergeCell ref="BN6:BO6"/>
    <mergeCell ref="BF5:BG5"/>
    <mergeCell ref="BH5:BI5"/>
    <mergeCell ref="BJ5:BK5"/>
    <mergeCell ref="BL5:BM5"/>
    <mergeCell ref="BP5:BQ5"/>
    <mergeCell ref="BN5:BO5"/>
    <mergeCell ref="BL6:BM6"/>
    <mergeCell ref="BD5:BE5"/>
    <mergeCell ref="BD6:BE6"/>
    <mergeCell ref="P6:Q6"/>
    <mergeCell ref="R6:S6"/>
    <mergeCell ref="T6:U6"/>
    <mergeCell ref="V6:W6"/>
    <mergeCell ref="X6:Y6"/>
    <mergeCell ref="AR5:AS5"/>
    <mergeCell ref="AD5:AE5"/>
    <mergeCell ref="AF5:AG5"/>
    <mergeCell ref="AJ5:AK5"/>
    <mergeCell ref="AL5:AM5"/>
    <mergeCell ref="D6:E6"/>
    <mergeCell ref="F6:G6"/>
    <mergeCell ref="H6:I6"/>
    <mergeCell ref="J6:K6"/>
    <mergeCell ref="L6:M6"/>
    <mergeCell ref="AB5:AC5"/>
    <mergeCell ref="AN5:AO5"/>
    <mergeCell ref="P5:Q5"/>
    <mergeCell ref="R5:S5"/>
    <mergeCell ref="T5:U5"/>
    <mergeCell ref="V5:W5"/>
    <mergeCell ref="X5:Y5"/>
    <mergeCell ref="Z5:AA5"/>
    <mergeCell ref="N5:O5"/>
    <mergeCell ref="D5:E5"/>
    <mergeCell ref="F5:G5"/>
    <mergeCell ref="H5:I5"/>
    <mergeCell ref="J5:K5"/>
    <mergeCell ref="L5:M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IV194"/>
  <sheetViews>
    <sheetView workbookViewId="0">
      <pane xSplit="3" ySplit="5" topLeftCell="G18" activePane="bottomRight" state="frozen"/>
      <selection pane="topRight" activeCell="D1" sqref="D1"/>
      <selection pane="bottomLeft" activeCell="A6" sqref="A6"/>
      <selection pane="bottomRight" activeCell="J44" sqref="J44"/>
    </sheetView>
  </sheetViews>
  <sheetFormatPr baseColWidth="10" defaultColWidth="11.42578125" defaultRowHeight="12.75"/>
  <cols>
    <col min="1" max="1" width="10.140625" bestFit="1" customWidth="1"/>
    <col min="2" max="2" width="33.42578125" customWidth="1"/>
    <col min="3" max="3" width="6.85546875" customWidth="1"/>
    <col min="4" max="5" width="12.7109375" customWidth="1"/>
    <col min="6" max="6" width="16.7109375" bestFit="1" customWidth="1"/>
    <col min="7" max="8" width="12.7109375" customWidth="1"/>
    <col min="9" max="9" width="16.140625" bestFit="1" customWidth="1"/>
    <col min="10" max="71" width="12.7109375" customWidth="1"/>
  </cols>
  <sheetData>
    <row r="1" spans="1:256" ht="20.25">
      <c r="A1" s="121" t="s">
        <v>436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3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</row>
    <row r="2" spans="1:256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3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256" s="79" customFormat="1">
      <c r="A3" s="180" t="s">
        <v>20</v>
      </c>
      <c r="B3" s="180" t="s">
        <v>0</v>
      </c>
      <c r="C3" s="180" t="s">
        <v>1</v>
      </c>
      <c r="D3" s="581" t="s">
        <v>330</v>
      </c>
      <c r="E3" s="582"/>
      <c r="F3" s="581" t="s">
        <v>3</v>
      </c>
      <c r="G3" s="582"/>
      <c r="H3" s="579" t="s">
        <v>328</v>
      </c>
      <c r="I3" s="580"/>
      <c r="J3" s="579" t="s">
        <v>333</v>
      </c>
      <c r="K3" s="580"/>
      <c r="L3" s="579" t="s">
        <v>477</v>
      </c>
      <c r="M3" s="580"/>
      <c r="N3" s="579" t="s">
        <v>163</v>
      </c>
      <c r="O3" s="580"/>
      <c r="P3" s="579" t="s">
        <v>94</v>
      </c>
      <c r="Q3" s="580"/>
      <c r="R3" s="579" t="s">
        <v>95</v>
      </c>
      <c r="S3" s="580"/>
      <c r="T3" s="579" t="s">
        <v>336</v>
      </c>
      <c r="U3" s="580"/>
      <c r="V3" s="585">
        <v>39585</v>
      </c>
      <c r="W3" s="580"/>
      <c r="X3" s="579" t="s">
        <v>338</v>
      </c>
      <c r="Y3" s="580"/>
      <c r="Z3" s="579" t="s">
        <v>468</v>
      </c>
      <c r="AA3" s="580"/>
      <c r="AB3" s="579" t="s">
        <v>458</v>
      </c>
      <c r="AC3" s="580"/>
      <c r="AD3" s="579" t="s">
        <v>386</v>
      </c>
      <c r="AE3" s="580"/>
      <c r="AF3" s="577" t="s">
        <v>6</v>
      </c>
      <c r="AG3" s="578"/>
      <c r="AH3" s="181" t="s">
        <v>7</v>
      </c>
      <c r="AI3" s="182"/>
      <c r="AJ3" s="577" t="s">
        <v>331</v>
      </c>
      <c r="AK3" s="578"/>
      <c r="AL3" s="577" t="s">
        <v>332</v>
      </c>
      <c r="AM3" s="578"/>
      <c r="AN3" s="577" t="s">
        <v>355</v>
      </c>
      <c r="AO3" s="578"/>
      <c r="AP3" s="181" t="s">
        <v>9</v>
      </c>
      <c r="AQ3" s="181"/>
      <c r="AR3" s="581" t="s">
        <v>468</v>
      </c>
      <c r="AS3" s="582"/>
      <c r="AT3" s="181" t="s">
        <v>10</v>
      </c>
      <c r="AU3" s="181"/>
      <c r="AV3" s="181" t="s">
        <v>11</v>
      </c>
      <c r="AW3" s="181"/>
      <c r="AX3" s="181" t="s">
        <v>12</v>
      </c>
      <c r="AY3" s="181"/>
      <c r="AZ3" s="181" t="s">
        <v>13</v>
      </c>
      <c r="BA3" s="181"/>
      <c r="BB3" s="181" t="s">
        <v>14</v>
      </c>
      <c r="BC3" s="181"/>
      <c r="BD3" s="181" t="s">
        <v>15</v>
      </c>
      <c r="BE3" s="181"/>
      <c r="BF3" s="583" t="s">
        <v>281</v>
      </c>
      <c r="BG3" s="584"/>
      <c r="BH3" s="583" t="s">
        <v>282</v>
      </c>
      <c r="BI3" s="584"/>
      <c r="BJ3" s="583" t="s">
        <v>282</v>
      </c>
      <c r="BK3" s="584"/>
      <c r="BL3" s="583" t="s">
        <v>423</v>
      </c>
      <c r="BM3" s="584"/>
      <c r="BN3" s="184" t="s">
        <v>30</v>
      </c>
      <c r="BO3" s="181"/>
      <c r="BP3" s="181" t="s">
        <v>32</v>
      </c>
      <c r="BQ3" s="181"/>
    </row>
    <row r="4" spans="1:256" s="79" customFormat="1">
      <c r="A4" s="180"/>
      <c r="B4" s="180"/>
      <c r="C4" s="180" t="s">
        <v>16</v>
      </c>
      <c r="D4" s="581"/>
      <c r="E4" s="582"/>
      <c r="F4" s="581" t="s">
        <v>249</v>
      </c>
      <c r="G4" s="582"/>
      <c r="H4" s="579" t="s">
        <v>329</v>
      </c>
      <c r="I4" s="580"/>
      <c r="J4" s="579" t="s">
        <v>334</v>
      </c>
      <c r="K4" s="580"/>
      <c r="L4" s="579"/>
      <c r="M4" s="580"/>
      <c r="N4" s="579"/>
      <c r="O4" s="580"/>
      <c r="P4" s="579" t="s">
        <v>335</v>
      </c>
      <c r="Q4" s="580"/>
      <c r="R4" s="579"/>
      <c r="S4" s="580"/>
      <c r="T4" s="579" t="s">
        <v>337</v>
      </c>
      <c r="U4" s="580"/>
      <c r="V4" s="579"/>
      <c r="W4" s="580"/>
      <c r="X4" s="579"/>
      <c r="Y4" s="580"/>
      <c r="Z4" s="579" t="s">
        <v>469</v>
      </c>
      <c r="AA4" s="580"/>
      <c r="AB4" s="579" t="s">
        <v>459</v>
      </c>
      <c r="AC4" s="580"/>
      <c r="AD4" s="579" t="s">
        <v>459</v>
      </c>
      <c r="AE4" s="580"/>
      <c r="AF4" s="577"/>
      <c r="AG4" s="578"/>
      <c r="AH4" s="181" t="s">
        <v>21</v>
      </c>
      <c r="AI4" s="182"/>
      <c r="AJ4" s="577" t="s">
        <v>326</v>
      </c>
      <c r="AK4" s="578"/>
      <c r="AL4" s="577" t="s">
        <v>327</v>
      </c>
      <c r="AM4" s="578"/>
      <c r="AN4" s="577"/>
      <c r="AO4" s="578"/>
      <c r="AP4" s="181" t="s">
        <v>22</v>
      </c>
      <c r="AQ4" s="181"/>
      <c r="AR4" s="581" t="s">
        <v>470</v>
      </c>
      <c r="AS4" s="582"/>
      <c r="AT4" s="181" t="s">
        <v>23</v>
      </c>
      <c r="AU4" s="181"/>
      <c r="AV4" s="181" t="s">
        <v>24</v>
      </c>
      <c r="AW4" s="181"/>
      <c r="AX4" s="181" t="s">
        <v>25</v>
      </c>
      <c r="AY4" s="181"/>
      <c r="AZ4" s="181" t="s">
        <v>26</v>
      </c>
      <c r="BA4" s="181"/>
      <c r="BB4" s="181" t="s">
        <v>27</v>
      </c>
      <c r="BC4" s="181"/>
      <c r="BD4" s="181"/>
      <c r="BE4" s="181"/>
      <c r="BF4" s="181"/>
      <c r="BG4" s="181"/>
      <c r="BH4" s="583" t="s">
        <v>284</v>
      </c>
      <c r="BI4" s="584"/>
      <c r="BJ4" s="583" t="s">
        <v>283</v>
      </c>
      <c r="BK4" s="584"/>
      <c r="BL4" s="183" t="s">
        <v>424</v>
      </c>
      <c r="BM4" s="183"/>
      <c r="BN4" s="181"/>
      <c r="BO4" s="181"/>
      <c r="BP4" s="181"/>
      <c r="BQ4" s="181"/>
    </row>
    <row r="5" spans="1:256" s="79" customFormat="1">
      <c r="A5" s="185"/>
      <c r="B5" s="185"/>
      <c r="C5" s="185"/>
      <c r="D5" s="185" t="s">
        <v>28</v>
      </c>
      <c r="E5" s="185" t="s">
        <v>29</v>
      </c>
      <c r="F5" s="185" t="s">
        <v>28</v>
      </c>
      <c r="G5" s="185" t="s">
        <v>29</v>
      </c>
      <c r="H5" s="185" t="s">
        <v>28</v>
      </c>
      <c r="I5" s="185" t="s">
        <v>29</v>
      </c>
      <c r="J5" s="185" t="s">
        <v>28</v>
      </c>
      <c r="K5" s="185" t="s">
        <v>29</v>
      </c>
      <c r="L5" s="185" t="s">
        <v>28</v>
      </c>
      <c r="M5" s="185" t="s">
        <v>29</v>
      </c>
      <c r="N5" s="185" t="s">
        <v>28</v>
      </c>
      <c r="O5" s="185" t="s">
        <v>29</v>
      </c>
      <c r="P5" s="185" t="s">
        <v>28</v>
      </c>
      <c r="Q5" s="185" t="s">
        <v>29</v>
      </c>
      <c r="R5" s="185" t="s">
        <v>28</v>
      </c>
      <c r="S5" s="185" t="s">
        <v>29</v>
      </c>
      <c r="T5" s="185" t="s">
        <v>28</v>
      </c>
      <c r="U5" s="185" t="s">
        <v>29</v>
      </c>
      <c r="V5" s="185" t="s">
        <v>28</v>
      </c>
      <c r="W5" s="185" t="s">
        <v>29</v>
      </c>
      <c r="X5" s="185" t="s">
        <v>28</v>
      </c>
      <c r="Y5" s="185" t="s">
        <v>29</v>
      </c>
      <c r="Z5" s="185" t="s">
        <v>28</v>
      </c>
      <c r="AA5" s="185" t="s">
        <v>29</v>
      </c>
      <c r="AB5" s="185" t="s">
        <v>28</v>
      </c>
      <c r="AC5" s="185" t="s">
        <v>29</v>
      </c>
      <c r="AD5" s="185" t="s">
        <v>28</v>
      </c>
      <c r="AE5" s="185" t="s">
        <v>29</v>
      </c>
      <c r="AF5" s="185" t="s">
        <v>28</v>
      </c>
      <c r="AG5" s="185" t="s">
        <v>29</v>
      </c>
      <c r="AH5" s="185" t="s">
        <v>28</v>
      </c>
      <c r="AI5" s="186" t="s">
        <v>29</v>
      </c>
      <c r="AJ5" s="185" t="s">
        <v>28</v>
      </c>
      <c r="AK5" s="185" t="s">
        <v>29</v>
      </c>
      <c r="AL5" s="185" t="s">
        <v>28</v>
      </c>
      <c r="AM5" s="185" t="s">
        <v>29</v>
      </c>
      <c r="AN5" s="185" t="s">
        <v>28</v>
      </c>
      <c r="AO5" s="185" t="s">
        <v>29</v>
      </c>
      <c r="AP5" s="185" t="s">
        <v>28</v>
      </c>
      <c r="AQ5" s="185" t="s">
        <v>29</v>
      </c>
      <c r="AR5" s="185" t="s">
        <v>28</v>
      </c>
      <c r="AS5" s="185" t="s">
        <v>29</v>
      </c>
      <c r="AT5" s="185" t="s">
        <v>28</v>
      </c>
      <c r="AU5" s="185" t="s">
        <v>29</v>
      </c>
      <c r="AV5" s="185" t="s">
        <v>28</v>
      </c>
      <c r="AW5" s="185" t="s">
        <v>29</v>
      </c>
      <c r="AX5" s="185" t="s">
        <v>28</v>
      </c>
      <c r="AY5" s="185" t="s">
        <v>29</v>
      </c>
      <c r="AZ5" s="185" t="s">
        <v>28</v>
      </c>
      <c r="BA5" s="185" t="s">
        <v>29</v>
      </c>
      <c r="BB5" s="185" t="s">
        <v>28</v>
      </c>
      <c r="BC5" s="185" t="s">
        <v>29</v>
      </c>
      <c r="BD5" s="185" t="s">
        <v>28</v>
      </c>
      <c r="BE5" s="185" t="s">
        <v>29</v>
      </c>
      <c r="BF5" s="185" t="s">
        <v>28</v>
      </c>
      <c r="BG5" s="185" t="s">
        <v>29</v>
      </c>
      <c r="BH5" s="185" t="s">
        <v>28</v>
      </c>
      <c r="BI5" s="185" t="s">
        <v>29</v>
      </c>
      <c r="BJ5" s="185" t="s">
        <v>28</v>
      </c>
      <c r="BK5" s="185" t="s">
        <v>29</v>
      </c>
      <c r="BL5" s="185" t="s">
        <v>28</v>
      </c>
      <c r="BM5" s="185" t="s">
        <v>29</v>
      </c>
      <c r="BN5" s="185" t="s">
        <v>28</v>
      </c>
      <c r="BO5" s="185" t="s">
        <v>29</v>
      </c>
      <c r="BP5" s="185" t="s">
        <v>28</v>
      </c>
      <c r="BQ5" s="185" t="s">
        <v>29</v>
      </c>
    </row>
    <row r="6" spans="1:256" s="79" customFormat="1">
      <c r="A6" s="187">
        <v>39814</v>
      </c>
      <c r="B6" s="188" t="s">
        <v>443</v>
      </c>
      <c r="C6" s="185"/>
      <c r="D6" s="189">
        <v>100</v>
      </c>
      <c r="E6" s="190"/>
      <c r="F6" s="189">
        <v>43634.840000000011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89">
        <v>921217.94</v>
      </c>
      <c r="AI6" s="191"/>
      <c r="AJ6" s="190"/>
      <c r="AK6" s="190"/>
      <c r="AL6" s="190"/>
      <c r="AM6" s="190"/>
      <c r="AN6" s="190"/>
      <c r="AO6" s="190"/>
      <c r="AP6" s="189">
        <v>0</v>
      </c>
      <c r="AQ6" s="190"/>
      <c r="AR6" s="190"/>
      <c r="AS6" s="190"/>
      <c r="AT6" s="189">
        <v>950000</v>
      </c>
      <c r="AU6" s="190"/>
      <c r="AV6" s="189">
        <v>112480</v>
      </c>
      <c r="AW6" s="190"/>
      <c r="AX6" s="189">
        <v>5000</v>
      </c>
      <c r="AY6" s="190"/>
      <c r="AZ6" s="190"/>
      <c r="BA6" s="189">
        <v>1067480</v>
      </c>
      <c r="BB6" s="190"/>
      <c r="BC6" s="189">
        <v>698804.66800000006</v>
      </c>
      <c r="BD6" s="190"/>
      <c r="BE6" s="189">
        <v>258354.19199999998</v>
      </c>
      <c r="BF6" s="190"/>
      <c r="BG6" s="189">
        <v>521.71999999999935</v>
      </c>
      <c r="BH6" s="189">
        <v>0</v>
      </c>
      <c r="BI6" s="190"/>
      <c r="BJ6" s="189">
        <v>4727.8</v>
      </c>
      <c r="BK6" s="190"/>
      <c r="BL6" s="190"/>
      <c r="BM6" s="189">
        <v>12000</v>
      </c>
      <c r="BN6" s="190"/>
      <c r="BO6" s="189"/>
      <c r="BP6" s="189">
        <v>0</v>
      </c>
      <c r="BQ6" s="192"/>
      <c r="BR6" s="193">
        <f t="shared" ref="BR6:BR47" si="0">D6-E6+F6-G6+H6-I6+J6-K6+L6-M6+N6-O6+P6-Q6+R6-S6+T6-U6+V6-W6+X6-Y6+Z6-AA6+AB6-AC6+AD6-AE6+AF6-AG6+AH6-AI6+AJ6-AK6+AL6-AM6+AN6-AO6+AP6-AQ6+AR6-AS6+AT6-AU6+AV6-AW6+AX6-AY6+AZ6-BA6+BB6-BC6+BD6-BE6+BF6-BG6+BH6-BI6+BJ6-BK6+BL6-BM6+BN6-BO6+BP6-BQ6</f>
        <v>-2.4738255888223648E-10</v>
      </c>
      <c r="BS6" s="194"/>
      <c r="BT6" s="194"/>
    </row>
    <row r="7" spans="1:256" s="79" customFormat="1">
      <c r="A7" s="187">
        <v>39873</v>
      </c>
      <c r="B7" s="188" t="s">
        <v>444</v>
      </c>
      <c r="C7" s="185">
        <v>1</v>
      </c>
      <c r="D7" s="192"/>
      <c r="E7" s="192"/>
      <c r="F7" s="192"/>
      <c r="G7" s="192">
        <v>6265.9</v>
      </c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>
        <v>0.18</v>
      </c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3"/>
      <c r="BA7" s="192"/>
      <c r="BB7" s="192"/>
      <c r="BC7" s="192"/>
      <c r="BD7" s="192"/>
      <c r="BE7" s="192"/>
      <c r="BF7" s="192">
        <v>6265.9</v>
      </c>
      <c r="BG7" s="192">
        <v>0.18</v>
      </c>
      <c r="BH7" s="193"/>
      <c r="BI7" s="192"/>
      <c r="BJ7" s="192"/>
      <c r="BK7" s="192"/>
      <c r="BL7" s="192"/>
      <c r="BM7" s="192"/>
      <c r="BN7" s="192"/>
      <c r="BO7" s="192"/>
      <c r="BP7" s="192"/>
      <c r="BQ7" s="192"/>
      <c r="BR7" s="193">
        <f t="shared" si="0"/>
        <v>2.9104496590548479E-13</v>
      </c>
      <c r="BS7" s="194"/>
      <c r="BT7" s="194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79" customFormat="1">
      <c r="A8" s="187">
        <v>39873</v>
      </c>
      <c r="B8" s="188" t="s">
        <v>444</v>
      </c>
      <c r="C8" s="185">
        <v>2</v>
      </c>
      <c r="D8" s="192"/>
      <c r="E8" s="192"/>
      <c r="F8" s="192"/>
      <c r="G8" s="192">
        <v>8000</v>
      </c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>
        <v>8000</v>
      </c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3">
        <f t="shared" si="0"/>
        <v>0</v>
      </c>
      <c r="BS8" s="194"/>
      <c r="BT8" s="194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s="79" customFormat="1">
      <c r="A9" s="170">
        <v>39882</v>
      </c>
      <c r="B9" s="188" t="s">
        <v>445</v>
      </c>
      <c r="C9" s="188">
        <v>3</v>
      </c>
      <c r="D9" s="195"/>
      <c r="E9" s="195"/>
      <c r="F9" s="195">
        <v>4728</v>
      </c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3"/>
      <c r="R9" s="195"/>
      <c r="S9" s="195"/>
      <c r="T9" s="195"/>
      <c r="U9" s="195">
        <v>0.2</v>
      </c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0"/>
      <c r="AG9" s="191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>
        <v>4727.8</v>
      </c>
      <c r="BL9" s="190"/>
      <c r="BM9" s="190"/>
      <c r="BN9" s="190"/>
      <c r="BO9" s="190"/>
      <c r="BP9" s="190"/>
      <c r="BQ9" s="190"/>
      <c r="BR9" s="193">
        <f t="shared" si="0"/>
        <v>0</v>
      </c>
      <c r="BS9" s="194"/>
      <c r="BT9" s="194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79" customFormat="1">
      <c r="A10" s="187">
        <v>39903</v>
      </c>
      <c r="B10" s="188" t="s">
        <v>446</v>
      </c>
      <c r="C10" s="185">
        <v>4</v>
      </c>
      <c r="D10" s="192"/>
      <c r="E10" s="192"/>
      <c r="F10" s="192"/>
      <c r="G10" s="192">
        <v>4</v>
      </c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>
        <v>4</v>
      </c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6"/>
      <c r="BN10" s="192"/>
      <c r="BO10" s="192"/>
      <c r="BP10" s="192"/>
      <c r="BQ10" s="192"/>
      <c r="BR10" s="193">
        <f t="shared" si="0"/>
        <v>0</v>
      </c>
      <c r="BS10" s="194"/>
      <c r="BT10" s="194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79" customFormat="1">
      <c r="A11" s="187">
        <v>39904</v>
      </c>
      <c r="B11" s="188" t="s">
        <v>447</v>
      </c>
      <c r="C11">
        <v>5</v>
      </c>
      <c r="D11" s="192"/>
      <c r="E11" s="192"/>
      <c r="F11" s="192"/>
      <c r="G11" s="192">
        <v>1158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>
        <v>1158</v>
      </c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3">
        <f t="shared" si="0"/>
        <v>0</v>
      </c>
      <c r="BS11" s="194"/>
      <c r="BT11" s="194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185" customFormat="1">
      <c r="A12" s="187">
        <v>39921</v>
      </c>
      <c r="B12" s="185" t="s">
        <v>448</v>
      </c>
      <c r="C12" s="185">
        <v>6</v>
      </c>
      <c r="D12" s="192"/>
      <c r="E12" s="192"/>
      <c r="F12" s="192"/>
      <c r="G12" s="192">
        <v>1160</v>
      </c>
      <c r="H12" s="192"/>
      <c r="I12" s="192"/>
      <c r="J12" s="192"/>
      <c r="K12" s="192"/>
      <c r="L12" s="192"/>
      <c r="M12" s="192"/>
      <c r="N12" s="192"/>
      <c r="O12" s="192"/>
      <c r="P12" s="192">
        <v>1160</v>
      </c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3">
        <f t="shared" si="0"/>
        <v>0</v>
      </c>
      <c r="BS12" s="194"/>
      <c r="BT12" s="194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79" customFormat="1">
      <c r="A13" s="187">
        <v>39933</v>
      </c>
      <c r="B13" s="188" t="s">
        <v>449</v>
      </c>
      <c r="C13" s="185">
        <v>7</v>
      </c>
      <c r="D13" s="192"/>
      <c r="E13" s="192"/>
      <c r="F13" s="192">
        <f>200*75</f>
        <v>15000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>
        <v>15000</v>
      </c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3">
        <f t="shared" si="0"/>
        <v>0</v>
      </c>
      <c r="BS13" s="194"/>
      <c r="BT13" s="194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79" customFormat="1">
      <c r="A14" s="187">
        <v>39933</v>
      </c>
      <c r="B14" s="188" t="s">
        <v>446</v>
      </c>
      <c r="C14" s="185">
        <v>7</v>
      </c>
      <c r="D14" s="192"/>
      <c r="E14" s="192"/>
      <c r="F14" s="192"/>
      <c r="G14" s="192">
        <v>4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>
        <v>4</v>
      </c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3">
        <f t="shared" si="0"/>
        <v>0</v>
      </c>
      <c r="BS14" s="194"/>
      <c r="BT14" s="194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185" customFormat="1">
      <c r="A15" s="187">
        <v>39935</v>
      </c>
      <c r="B15" s="185" t="s">
        <v>450</v>
      </c>
      <c r="C15" s="185">
        <v>8</v>
      </c>
      <c r="D15" s="192"/>
      <c r="E15" s="192"/>
      <c r="F15" s="192"/>
      <c r="G15" s="192">
        <v>209</v>
      </c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>
        <v>209</v>
      </c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3">
        <f t="shared" si="0"/>
        <v>0</v>
      </c>
      <c r="BS15" s="194"/>
      <c r="BT15" s="194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79" customFormat="1">
      <c r="A16" s="187">
        <v>39935</v>
      </c>
      <c r="B16" s="188" t="s">
        <v>451</v>
      </c>
      <c r="C16" s="188">
        <v>9</v>
      </c>
      <c r="D16" s="195"/>
      <c r="E16" s="195"/>
      <c r="F16" s="195"/>
      <c r="G16" s="195">
        <v>2170</v>
      </c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>
        <v>2170</v>
      </c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0"/>
      <c r="AG16" s="191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3">
        <f t="shared" si="0"/>
        <v>0</v>
      </c>
      <c r="BS16" s="194"/>
      <c r="BT16" s="194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79" customFormat="1">
      <c r="A17" s="170">
        <v>39944</v>
      </c>
      <c r="B17" s="188" t="s">
        <v>392</v>
      </c>
      <c r="C17" s="188">
        <v>10</v>
      </c>
      <c r="D17" s="195"/>
      <c r="E17" s="195"/>
      <c r="F17" s="195"/>
      <c r="G17" s="195">
        <v>315</v>
      </c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>
        <v>315</v>
      </c>
      <c r="Y17" s="195"/>
      <c r="Z17" s="195"/>
      <c r="AA17" s="195"/>
      <c r="AB17" s="195"/>
      <c r="AC17" s="195"/>
      <c r="AD17" s="195"/>
      <c r="AE17" s="195"/>
      <c r="AF17" s="190"/>
      <c r="AG17" s="191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3">
        <f t="shared" si="0"/>
        <v>0</v>
      </c>
      <c r="BS17" s="70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79" customFormat="1">
      <c r="A18" s="170">
        <v>39957</v>
      </c>
      <c r="B18" s="188" t="s">
        <v>471</v>
      </c>
      <c r="C18">
        <v>11</v>
      </c>
      <c r="D18" s="195"/>
      <c r="E18" s="195"/>
      <c r="F18" s="195"/>
      <c r="G18" s="195">
        <v>10000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>
        <v>10000</v>
      </c>
      <c r="AA18" s="195"/>
      <c r="AB18" s="195"/>
      <c r="AC18" s="195"/>
      <c r="AD18" s="195"/>
      <c r="AE18" s="195"/>
      <c r="AF18" s="190"/>
      <c r="AG18" s="191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3">
        <f t="shared" si="0"/>
        <v>0</v>
      </c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79" customFormat="1">
      <c r="A19" s="170">
        <v>39957</v>
      </c>
      <c r="B19" s="188" t="s">
        <v>452</v>
      </c>
      <c r="C19" s="188">
        <v>12</v>
      </c>
      <c r="D19" s="195"/>
      <c r="E19" s="195"/>
      <c r="F19" s="195"/>
      <c r="G19" s="195">
        <v>2500</v>
      </c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>
        <v>2500</v>
      </c>
      <c r="W19" s="195"/>
      <c r="X19" s="195"/>
      <c r="Y19" s="195"/>
      <c r="Z19" s="195"/>
      <c r="AA19" s="195"/>
      <c r="AB19" s="195"/>
      <c r="AC19" s="195"/>
      <c r="AD19" s="195"/>
      <c r="AE19" s="195"/>
      <c r="AF19" s="190"/>
      <c r="AG19" s="191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3">
        <f t="shared" si="0"/>
        <v>0</v>
      </c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79" customFormat="1">
      <c r="A20" s="170">
        <v>39962</v>
      </c>
      <c r="B20" s="188" t="s">
        <v>453</v>
      </c>
      <c r="C20" s="188">
        <v>13</v>
      </c>
      <c r="D20" s="195"/>
      <c r="E20" s="195"/>
      <c r="F20" s="192">
        <f>200*23</f>
        <v>4600</v>
      </c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0"/>
      <c r="AG20" s="191">
        <v>4600</v>
      </c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3">
        <f t="shared" si="0"/>
        <v>0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79" customFormat="1">
      <c r="A21" s="170">
        <v>39962</v>
      </c>
      <c r="B21" s="188" t="s">
        <v>446</v>
      </c>
      <c r="C21" s="188">
        <v>13</v>
      </c>
      <c r="D21" s="195"/>
      <c r="E21" s="195"/>
      <c r="F21" s="195"/>
      <c r="G21" s="195">
        <v>10</v>
      </c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>
        <v>10</v>
      </c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0"/>
      <c r="AG21" s="191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3">
        <f t="shared" si="0"/>
        <v>0</v>
      </c>
    </row>
    <row r="22" spans="1:256" s="79" customFormat="1">
      <c r="A22" s="170">
        <v>39973</v>
      </c>
      <c r="B22" s="188" t="s">
        <v>454</v>
      </c>
      <c r="C22" s="188">
        <v>14</v>
      </c>
      <c r="D22" s="195"/>
      <c r="E22" s="195"/>
      <c r="F22" s="195"/>
      <c r="G22" s="195">
        <v>200</v>
      </c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0">
        <v>200</v>
      </c>
      <c r="AG22" s="191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3">
        <f t="shared" si="0"/>
        <v>0</v>
      </c>
    </row>
    <row r="23" spans="1:256" s="79" customFormat="1">
      <c r="A23" s="170">
        <v>39973</v>
      </c>
      <c r="B23" s="188" t="s">
        <v>457</v>
      </c>
      <c r="C23" s="188">
        <v>15</v>
      </c>
      <c r="D23" s="195"/>
      <c r="E23" s="195"/>
      <c r="F23" s="195"/>
      <c r="G23" s="195">
        <v>850</v>
      </c>
      <c r="H23" s="195"/>
      <c r="I23" s="195"/>
      <c r="J23" s="195"/>
      <c r="K23" s="195"/>
      <c r="L23" s="195"/>
      <c r="M23" s="195"/>
      <c r="N23" s="195">
        <v>850</v>
      </c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0"/>
      <c r="AG23" s="191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3">
        <f t="shared" si="0"/>
        <v>0</v>
      </c>
      <c r="BS23" s="194"/>
      <c r="BT23" s="194"/>
    </row>
    <row r="24" spans="1:256" s="79" customFormat="1">
      <c r="A24" s="170">
        <v>39973</v>
      </c>
      <c r="B24" s="188" t="s">
        <v>478</v>
      </c>
      <c r="C24" s="79">
        <v>16</v>
      </c>
      <c r="D24" s="195"/>
      <c r="E24" s="195"/>
      <c r="F24" s="195"/>
      <c r="G24" s="195">
        <v>3185</v>
      </c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>
        <v>3185</v>
      </c>
      <c r="AE24" s="195"/>
      <c r="AF24" s="190"/>
      <c r="AG24" s="191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3">
        <f t="shared" si="0"/>
        <v>0</v>
      </c>
    </row>
    <row r="25" spans="1:256" s="79" customFormat="1">
      <c r="A25" s="170">
        <v>39994</v>
      </c>
      <c r="B25" s="188" t="s">
        <v>455</v>
      </c>
      <c r="C25" s="188">
        <v>17</v>
      </c>
      <c r="D25" s="195"/>
      <c r="E25" s="195"/>
      <c r="F25" s="192">
        <f>200*8</f>
        <v>1600</v>
      </c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0"/>
      <c r="AG25" s="191">
        <v>1600</v>
      </c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3">
        <f t="shared" si="0"/>
        <v>0</v>
      </c>
    </row>
    <row r="26" spans="1:256" s="79" customFormat="1">
      <c r="A26" s="170">
        <v>39994</v>
      </c>
      <c r="B26" s="188" t="s">
        <v>446</v>
      </c>
      <c r="C26" s="79">
        <v>17</v>
      </c>
      <c r="D26" s="195"/>
      <c r="E26" s="195"/>
      <c r="F26" s="195"/>
      <c r="G26" s="195">
        <v>96</v>
      </c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>
        <v>96</v>
      </c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3">
        <f t="shared" si="0"/>
        <v>0</v>
      </c>
    </row>
    <row r="27" spans="1:256" s="79" customFormat="1">
      <c r="A27" s="170">
        <v>39996</v>
      </c>
      <c r="B27" s="188" t="s">
        <v>456</v>
      </c>
      <c r="C27" s="188">
        <v>18</v>
      </c>
      <c r="D27" s="195"/>
      <c r="E27" s="195"/>
      <c r="F27" s="195"/>
      <c r="G27" s="195">
        <v>13750</v>
      </c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>
        <v>1750</v>
      </c>
      <c r="AE27" s="195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>
        <v>12000</v>
      </c>
      <c r="BM27" s="190"/>
      <c r="BN27" s="190"/>
      <c r="BO27" s="190"/>
      <c r="BP27" s="190"/>
      <c r="BQ27" s="190"/>
      <c r="BR27" s="193">
        <f t="shared" si="0"/>
        <v>0</v>
      </c>
    </row>
    <row r="28" spans="1:256" s="79" customFormat="1">
      <c r="A28" s="170">
        <v>39996</v>
      </c>
      <c r="B28" s="188" t="s">
        <v>460</v>
      </c>
      <c r="C28" s="188">
        <v>19</v>
      </c>
      <c r="D28" s="195"/>
      <c r="E28" s="195"/>
      <c r="F28" s="195"/>
      <c r="G28" s="195">
        <v>3426</v>
      </c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>
        <v>3426</v>
      </c>
      <c r="AC28" s="195"/>
      <c r="AD28" s="195"/>
      <c r="AE28" s="195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3">
        <f t="shared" si="0"/>
        <v>0</v>
      </c>
    </row>
    <row r="29" spans="1:256" s="79" customFormat="1">
      <c r="A29" s="170">
        <v>40025</v>
      </c>
      <c r="B29" s="188" t="s">
        <v>461</v>
      </c>
      <c r="C29" s="188">
        <v>20</v>
      </c>
      <c r="D29" s="195"/>
      <c r="E29" s="195"/>
      <c r="F29" s="192">
        <f>200*1</f>
        <v>200</v>
      </c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0"/>
      <c r="AG29" s="190">
        <v>200</v>
      </c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3">
        <f t="shared" si="0"/>
        <v>0</v>
      </c>
    </row>
    <row r="30" spans="1:256" s="79" customFormat="1">
      <c r="A30" s="170">
        <v>40025</v>
      </c>
      <c r="B30" s="188" t="s">
        <v>446</v>
      </c>
      <c r="C30" s="188">
        <v>20</v>
      </c>
      <c r="D30" s="195"/>
      <c r="E30" s="195"/>
      <c r="F30" s="195"/>
      <c r="G30" s="195">
        <v>4</v>
      </c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>
        <v>4</v>
      </c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0"/>
      <c r="AG30" s="191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3">
        <f t="shared" si="0"/>
        <v>0</v>
      </c>
    </row>
    <row r="31" spans="1:256" s="79" customFormat="1">
      <c r="A31" s="170">
        <v>40056</v>
      </c>
      <c r="B31" s="188" t="s">
        <v>446</v>
      </c>
      <c r="C31" s="185">
        <v>21</v>
      </c>
      <c r="D31" s="195"/>
      <c r="E31" s="195"/>
      <c r="F31" s="195"/>
      <c r="G31" s="195">
        <v>90</v>
      </c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>
        <v>90</v>
      </c>
      <c r="BQ31" s="190"/>
      <c r="BR31" s="193">
        <f t="shared" si="0"/>
        <v>0</v>
      </c>
    </row>
    <row r="32" spans="1:256" s="79" customFormat="1">
      <c r="A32" s="170">
        <v>40086</v>
      </c>
      <c r="B32" s="188" t="s">
        <v>462</v>
      </c>
      <c r="C32" s="188">
        <v>22</v>
      </c>
      <c r="D32" s="195"/>
      <c r="E32" s="195"/>
      <c r="F32" s="192">
        <f>200*2</f>
        <v>400</v>
      </c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0"/>
      <c r="AG32" s="190">
        <v>400</v>
      </c>
      <c r="AH32" s="190"/>
      <c r="AI32" s="195"/>
      <c r="AJ32" s="195"/>
      <c r="AK32" s="195"/>
      <c r="AL32" s="195"/>
      <c r="AM32" s="195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3">
        <f t="shared" si="0"/>
        <v>0</v>
      </c>
    </row>
    <row r="33" spans="1:72" s="79" customFormat="1">
      <c r="A33" s="170">
        <v>40090</v>
      </c>
      <c r="B33" s="188" t="s">
        <v>447</v>
      </c>
      <c r="C33" s="188">
        <v>23</v>
      </c>
      <c r="D33" s="195"/>
      <c r="E33" s="195"/>
      <c r="F33" s="195"/>
      <c r="G33" s="195">
        <v>1158</v>
      </c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>
        <v>1158</v>
      </c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3">
        <f t="shared" si="0"/>
        <v>0</v>
      </c>
      <c r="BS33" s="194"/>
      <c r="BT33" s="194"/>
    </row>
    <row r="34" spans="1:72" s="79" customFormat="1">
      <c r="A34" s="170">
        <v>40104</v>
      </c>
      <c r="B34" s="188" t="s">
        <v>463</v>
      </c>
      <c r="C34" s="188">
        <v>24</v>
      </c>
      <c r="D34" s="195"/>
      <c r="E34" s="195"/>
      <c r="F34" s="195"/>
      <c r="G34" s="195">
        <v>8581</v>
      </c>
      <c r="H34" s="195"/>
      <c r="I34" s="195"/>
      <c r="J34" s="195"/>
      <c r="K34" s="195"/>
      <c r="L34" s="195"/>
      <c r="M34" s="195"/>
      <c r="N34" s="195">
        <v>4000</v>
      </c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>
        <v>4581</v>
      </c>
      <c r="AC34" s="195"/>
      <c r="AD34" s="195"/>
      <c r="AE34" s="195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3">
        <f t="shared" si="0"/>
        <v>0</v>
      </c>
    </row>
    <row r="35" spans="1:72" s="79" customFormat="1">
      <c r="A35" s="170">
        <v>40104</v>
      </c>
      <c r="B35" s="188" t="s">
        <v>464</v>
      </c>
      <c r="C35" s="188">
        <v>25</v>
      </c>
      <c r="D35" s="195"/>
      <c r="E35" s="195"/>
      <c r="F35" s="195"/>
      <c r="G35" s="195">
        <v>1530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>
        <v>1530</v>
      </c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3">
        <f t="shared" si="0"/>
        <v>0</v>
      </c>
    </row>
    <row r="36" spans="1:72" s="79" customFormat="1">
      <c r="A36" s="170">
        <v>40117</v>
      </c>
      <c r="B36" s="188" t="s">
        <v>446</v>
      </c>
      <c r="C36" s="188">
        <v>26</v>
      </c>
      <c r="D36" s="195"/>
      <c r="E36" s="195"/>
      <c r="F36" s="195"/>
      <c r="G36" s="195">
        <v>6</v>
      </c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>
        <v>6</v>
      </c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3">
        <f t="shared" si="0"/>
        <v>0</v>
      </c>
    </row>
    <row r="37" spans="1:72" s="79" customFormat="1">
      <c r="A37" s="170">
        <v>40177</v>
      </c>
      <c r="B37" s="188" t="s">
        <v>465</v>
      </c>
      <c r="C37" s="122">
        <v>27</v>
      </c>
      <c r="D37" s="195"/>
      <c r="E37" s="195"/>
      <c r="F37" s="195"/>
      <c r="G37" s="195">
        <v>932.8</v>
      </c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>
        <v>932.8</v>
      </c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3">
        <f t="shared" si="0"/>
        <v>0</v>
      </c>
    </row>
    <row r="38" spans="1:72" s="79" customFormat="1">
      <c r="A38" s="170">
        <v>40177</v>
      </c>
      <c r="B38" s="188" t="s">
        <v>362</v>
      </c>
      <c r="C38" s="122">
        <v>28</v>
      </c>
      <c r="D38" s="195"/>
      <c r="E38" s="195"/>
      <c r="F38" s="195"/>
      <c r="G38" s="195">
        <v>4000</v>
      </c>
      <c r="H38" s="195"/>
      <c r="I38" s="195"/>
      <c r="J38" s="195"/>
      <c r="K38" s="195"/>
      <c r="L38" s="192"/>
      <c r="M38" s="195"/>
      <c r="N38" s="195"/>
      <c r="O38" s="195"/>
      <c r="P38" s="195"/>
      <c r="Q38" s="195"/>
      <c r="R38" s="195"/>
      <c r="S38" s="195"/>
      <c r="T38" s="192">
        <v>4000</v>
      </c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3">
        <f t="shared" si="0"/>
        <v>0</v>
      </c>
    </row>
    <row r="39" spans="1:72" s="79" customFormat="1">
      <c r="A39" s="170">
        <v>40178</v>
      </c>
      <c r="B39" s="188" t="s">
        <v>446</v>
      </c>
      <c r="C39" s="188">
        <v>29</v>
      </c>
      <c r="D39" s="195"/>
      <c r="E39" s="195"/>
      <c r="F39" s="195"/>
      <c r="G39" s="195">
        <v>4</v>
      </c>
      <c r="H39" s="195"/>
      <c r="I39" s="197"/>
      <c r="J39" s="192"/>
      <c r="K39" s="198"/>
      <c r="L39" s="192"/>
      <c r="M39" s="198"/>
      <c r="N39" s="192"/>
      <c r="O39" s="198"/>
      <c r="P39" s="192"/>
      <c r="Q39" s="198"/>
      <c r="R39" s="192"/>
      <c r="S39" s="198"/>
      <c r="T39" s="192">
        <v>4</v>
      </c>
      <c r="U39" s="198"/>
      <c r="V39" s="192"/>
      <c r="W39" s="198"/>
      <c r="X39" s="192"/>
      <c r="Y39" s="198"/>
      <c r="Z39" s="192"/>
      <c r="AA39" s="198"/>
      <c r="AB39" s="192"/>
      <c r="AC39" s="198"/>
      <c r="AD39" s="195"/>
      <c r="AE39" s="198"/>
      <c r="AF39" s="195"/>
      <c r="AG39" s="195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3">
        <f t="shared" si="0"/>
        <v>0</v>
      </c>
    </row>
    <row r="40" spans="1:72" s="79" customFormat="1">
      <c r="A40" s="170">
        <v>40178</v>
      </c>
      <c r="B40" s="188" t="s">
        <v>466</v>
      </c>
      <c r="C40" s="188">
        <v>29</v>
      </c>
      <c r="D40" s="195"/>
      <c r="E40" s="195"/>
      <c r="F40" s="195">
        <v>30.88</v>
      </c>
      <c r="G40" s="195"/>
      <c r="H40" s="195"/>
      <c r="I40" s="197"/>
      <c r="J40" s="192"/>
      <c r="K40" s="198"/>
      <c r="L40" s="192"/>
      <c r="M40" s="198"/>
      <c r="N40" s="192"/>
      <c r="O40" s="198"/>
      <c r="P40" s="192"/>
      <c r="Q40" s="198"/>
      <c r="R40" s="192"/>
      <c r="S40" s="198"/>
      <c r="T40" s="192"/>
      <c r="U40" s="198"/>
      <c r="V40" s="192"/>
      <c r="W40" s="198"/>
      <c r="X40" s="192"/>
      <c r="Y40" s="198"/>
      <c r="Z40" s="192"/>
      <c r="AA40" s="198"/>
      <c r="AB40" s="192"/>
      <c r="AC40" s="198"/>
      <c r="AD40" s="195"/>
      <c r="AE40" s="198"/>
      <c r="AF40" s="195"/>
      <c r="AG40" s="195"/>
      <c r="AH40" s="190"/>
      <c r="AI40" s="190"/>
      <c r="AJ40" s="190"/>
      <c r="AK40" s="190"/>
      <c r="AL40" s="190"/>
      <c r="AM40" s="190">
        <v>30.88</v>
      </c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3">
        <f t="shared" si="0"/>
        <v>0</v>
      </c>
    </row>
    <row r="41" spans="1:72" s="79" customFormat="1">
      <c r="A41" s="170">
        <v>40178</v>
      </c>
      <c r="B41" s="188" t="s">
        <v>467</v>
      </c>
      <c r="C41" s="122">
        <v>30</v>
      </c>
      <c r="D41" s="195"/>
      <c r="E41" s="195"/>
      <c r="F41" s="195"/>
      <c r="G41" s="195"/>
      <c r="H41" s="195"/>
      <c r="I41" s="197"/>
      <c r="J41" s="192"/>
      <c r="K41" s="198"/>
      <c r="L41" s="192"/>
      <c r="M41" s="198"/>
      <c r="N41" s="192"/>
      <c r="O41" s="198"/>
      <c r="P41" s="192"/>
      <c r="Q41" s="198"/>
      <c r="R41" s="192"/>
      <c r="S41" s="198"/>
      <c r="T41" s="192"/>
      <c r="U41" s="198"/>
      <c r="V41" s="192"/>
      <c r="W41" s="198"/>
      <c r="X41" s="192"/>
      <c r="Y41" s="198"/>
      <c r="Z41" s="192"/>
      <c r="AA41" s="198"/>
      <c r="AB41" s="192"/>
      <c r="AC41" s="198"/>
      <c r="AD41" s="195"/>
      <c r="AE41" s="198"/>
      <c r="AF41" s="195"/>
      <c r="AG41" s="195"/>
      <c r="AH41" s="190">
        <v>31071</v>
      </c>
      <c r="AI41" s="190"/>
      <c r="AJ41" s="190"/>
      <c r="AK41" s="190">
        <v>31071</v>
      </c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3">
        <f t="shared" si="0"/>
        <v>0</v>
      </c>
    </row>
    <row r="42" spans="1:72" s="79" customFormat="1">
      <c r="A42" s="170">
        <v>39823</v>
      </c>
      <c r="B42" s="188" t="s">
        <v>476</v>
      </c>
      <c r="C42" s="185">
        <v>31</v>
      </c>
      <c r="D42" s="195"/>
      <c r="E42" s="195"/>
      <c r="F42" s="195"/>
      <c r="G42" s="195"/>
      <c r="H42" s="195"/>
      <c r="I42" s="197"/>
      <c r="J42" s="192"/>
      <c r="K42" s="198"/>
      <c r="L42" s="192">
        <v>5203</v>
      </c>
      <c r="M42" s="198"/>
      <c r="N42" s="192"/>
      <c r="O42" s="198"/>
      <c r="P42" s="192"/>
      <c r="Q42" s="198"/>
      <c r="R42" s="192"/>
      <c r="S42" s="198"/>
      <c r="T42" s="192"/>
      <c r="U42" s="198"/>
      <c r="V42" s="192"/>
      <c r="W42" s="198"/>
      <c r="X42" s="192"/>
      <c r="Y42" s="198"/>
      <c r="Z42" s="192"/>
      <c r="AA42" s="198"/>
      <c r="AB42" s="192"/>
      <c r="AC42" s="198"/>
      <c r="AD42" s="195"/>
      <c r="AE42" s="198"/>
      <c r="AF42" s="195"/>
      <c r="AG42" s="195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>
        <v>5203</v>
      </c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3">
        <f t="shared" si="0"/>
        <v>0</v>
      </c>
    </row>
    <row r="43" spans="1:72" s="79" customFormat="1">
      <c r="A43" s="170">
        <v>40178</v>
      </c>
      <c r="B43" s="188" t="s">
        <v>479</v>
      </c>
      <c r="C43" s="188">
        <v>32</v>
      </c>
      <c r="D43" s="195"/>
      <c r="E43" s="195"/>
      <c r="F43" s="195"/>
      <c r="G43" s="195"/>
      <c r="H43" s="195"/>
      <c r="I43" s="197"/>
      <c r="J43" s="192"/>
      <c r="K43" s="198"/>
      <c r="L43" s="192"/>
      <c r="M43" s="198"/>
      <c r="N43" s="192"/>
      <c r="O43" s="198"/>
      <c r="P43" s="192"/>
      <c r="Q43" s="198"/>
      <c r="R43" s="192"/>
      <c r="S43" s="198"/>
      <c r="T43" s="192"/>
      <c r="U43" s="198"/>
      <c r="V43" s="192"/>
      <c r="W43" s="198"/>
      <c r="X43" s="192"/>
      <c r="Y43" s="198"/>
      <c r="Z43" s="192"/>
      <c r="AA43" s="198"/>
      <c r="AB43" s="192">
        <v>1086</v>
      </c>
      <c r="AC43" s="198"/>
      <c r="AD43" s="195"/>
      <c r="AE43" s="198"/>
      <c r="AF43" s="195"/>
      <c r="AG43" s="195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>
        <v>1086</v>
      </c>
      <c r="BP43" s="190"/>
      <c r="BQ43" s="190"/>
      <c r="BR43" s="193">
        <f t="shared" si="0"/>
        <v>0</v>
      </c>
    </row>
    <row r="44" spans="1:72" s="79" customFormat="1">
      <c r="A44" s="170"/>
      <c r="B44" s="188"/>
      <c r="C44" s="188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5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3">
        <f t="shared" si="0"/>
        <v>0</v>
      </c>
    </row>
    <row r="45" spans="1:72" s="79" customFormat="1">
      <c r="A45" s="170"/>
      <c r="B45" s="188"/>
      <c r="C45" s="188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3">
        <f t="shared" si="0"/>
        <v>0</v>
      </c>
    </row>
    <row r="46" spans="1:72" s="202" customFormat="1">
      <c r="B46" s="202" t="s">
        <v>41</v>
      </c>
      <c r="D46" s="203">
        <f>SUM(D6:D45)</f>
        <v>100</v>
      </c>
      <c r="E46" s="203"/>
      <c r="F46" s="203">
        <f>SUM(F6:F45)</f>
        <v>70193.720000000016</v>
      </c>
      <c r="G46" s="203"/>
      <c r="H46" s="203">
        <f>SUM(H6:H45)</f>
        <v>0</v>
      </c>
      <c r="I46" s="203"/>
      <c r="J46" s="203">
        <f>SUM(J6:J45)</f>
        <v>0</v>
      </c>
      <c r="K46" s="203"/>
      <c r="L46" s="203">
        <f>SUM(L6:L45)</f>
        <v>5203</v>
      </c>
      <c r="M46" s="203"/>
      <c r="N46" s="203">
        <f>SUM(N6:N45)</f>
        <v>4850</v>
      </c>
      <c r="O46" s="203"/>
      <c r="P46" s="203">
        <f>SUM(P6:P45)</f>
        <v>1160</v>
      </c>
      <c r="Q46" s="203"/>
      <c r="R46" s="203">
        <f>SUM(R6:R45)</f>
        <v>2316</v>
      </c>
      <c r="S46" s="203"/>
      <c r="T46" s="203">
        <f>SUM(T6:T45)</f>
        <v>8969.98</v>
      </c>
      <c r="U46" s="203"/>
      <c r="V46" s="203">
        <f>SUM(V6:V45)</f>
        <v>2500</v>
      </c>
      <c r="W46" s="203"/>
      <c r="X46" s="203">
        <f>SUM(X6:X45)</f>
        <v>315</v>
      </c>
      <c r="Y46" s="203"/>
      <c r="Z46" s="203">
        <f>SUM(Z6:Z45)</f>
        <v>10000</v>
      </c>
      <c r="AA46" s="203"/>
      <c r="AB46" s="203">
        <f>SUM(AB6:AB45)</f>
        <v>9093</v>
      </c>
      <c r="AC46" s="203"/>
      <c r="AD46" s="203">
        <f>SUM(AD6:AD45)</f>
        <v>4935</v>
      </c>
      <c r="AE46" s="203"/>
      <c r="AF46" s="203">
        <f>SUM(AF6:AF45)</f>
        <v>200</v>
      </c>
      <c r="AG46" s="203"/>
      <c r="AH46" s="203">
        <f>SUM(AH6:AH45)</f>
        <v>952288.94</v>
      </c>
      <c r="AI46" s="203"/>
      <c r="AJ46" s="203">
        <f>SUM(AJ6:AJ45)</f>
        <v>0</v>
      </c>
      <c r="AK46" s="203"/>
      <c r="AL46" s="203">
        <f>SUM(AL6:AL45)</f>
        <v>0</v>
      </c>
      <c r="AM46" s="203"/>
      <c r="AN46" s="203">
        <f>SUM(AN6:AN45)</f>
        <v>0</v>
      </c>
      <c r="AO46" s="203"/>
      <c r="AP46" s="203">
        <f>SUM(AP6:AP45)</f>
        <v>0</v>
      </c>
      <c r="AQ46" s="203"/>
      <c r="AR46" s="203">
        <f>SUM(AR6:AR45)</f>
        <v>0</v>
      </c>
      <c r="AS46" s="203"/>
      <c r="AT46" s="203">
        <f>SUM(AT6:AT45)</f>
        <v>950000</v>
      </c>
      <c r="AU46" s="203"/>
      <c r="AV46" s="203">
        <f>SUM(AV6:AV45)</f>
        <v>112480</v>
      </c>
      <c r="AW46" s="203"/>
      <c r="AX46" s="203">
        <f>SUM(AX6:AX45)</f>
        <v>5000</v>
      </c>
      <c r="AY46" s="203"/>
      <c r="AZ46" s="203">
        <f>SUM(AZ6:AZ45)</f>
        <v>0</v>
      </c>
      <c r="BA46" s="203"/>
      <c r="BB46" s="203">
        <f>SUM(BB6:BB45)</f>
        <v>0</v>
      </c>
      <c r="BC46" s="203"/>
      <c r="BD46" s="203">
        <f>SUM(BD6:BD45)</f>
        <v>0</v>
      </c>
      <c r="BE46" s="203"/>
      <c r="BF46" s="203">
        <f>SUM(BF6:BF45)</f>
        <v>14265.9</v>
      </c>
      <c r="BG46" s="203"/>
      <c r="BH46" s="203">
        <f>SUM(BH6:BH45)</f>
        <v>0</v>
      </c>
      <c r="BI46" s="203"/>
      <c r="BJ46" s="203">
        <f>SUM(BJ6:BJ45)</f>
        <v>4727.8</v>
      </c>
      <c r="BK46" s="203"/>
      <c r="BL46" s="203">
        <f>SUM(BL6:BL45)</f>
        <v>12000</v>
      </c>
      <c r="BM46" s="203"/>
      <c r="BN46" s="203">
        <f>SUM(BN6:BN45)</f>
        <v>0</v>
      </c>
      <c r="BO46" s="203"/>
      <c r="BP46" s="203">
        <f>SUM(BP6:BP45)</f>
        <v>90</v>
      </c>
      <c r="BQ46" s="203"/>
      <c r="BR46" s="203">
        <f t="shared" si="0"/>
        <v>2170688.3399999994</v>
      </c>
      <c r="BS46" s="202" t="s">
        <v>28</v>
      </c>
    </row>
    <row r="47" spans="1:72" s="202" customFormat="1">
      <c r="B47" s="204" t="s">
        <v>42</v>
      </c>
      <c r="C47" s="204"/>
      <c r="D47" s="205"/>
      <c r="E47" s="205">
        <f>SUM(E6:E45)</f>
        <v>0</v>
      </c>
      <c r="F47" s="205"/>
      <c r="G47" s="205">
        <f>SUM(G6:G45)</f>
        <v>69608.7</v>
      </c>
      <c r="H47" s="205"/>
      <c r="I47" s="205">
        <f>SUM(I6:I45)</f>
        <v>0</v>
      </c>
      <c r="J47" s="205"/>
      <c r="K47" s="205">
        <f>SUM(K6:K45)</f>
        <v>0</v>
      </c>
      <c r="L47" s="205"/>
      <c r="M47" s="205">
        <f>SUM(M6:M45)</f>
        <v>0</v>
      </c>
      <c r="N47" s="205"/>
      <c r="O47" s="205">
        <f>SUM(O6:O45)</f>
        <v>0</v>
      </c>
      <c r="P47" s="205"/>
      <c r="Q47" s="205">
        <f>SUM(Q6:Q45)</f>
        <v>0</v>
      </c>
      <c r="R47" s="205"/>
      <c r="S47" s="205">
        <f>SUM(S6:S45)</f>
        <v>0</v>
      </c>
      <c r="T47" s="205"/>
      <c r="U47" s="205">
        <f>SUM(U6:U45)</f>
        <v>0.2</v>
      </c>
      <c r="V47" s="205"/>
      <c r="W47" s="205">
        <f>SUM(W6:W45)</f>
        <v>0</v>
      </c>
      <c r="X47" s="205"/>
      <c r="Y47" s="205">
        <f>SUM(Y6:Y45)</f>
        <v>0</v>
      </c>
      <c r="Z47" s="205"/>
      <c r="AA47" s="205">
        <f>SUM(AA6:AA45)</f>
        <v>0</v>
      </c>
      <c r="AB47" s="205"/>
      <c r="AC47" s="205">
        <f>SUM(AC6:AC45)</f>
        <v>0</v>
      </c>
      <c r="AD47" s="205"/>
      <c r="AE47" s="205">
        <f>SUM(AE6:AE45)</f>
        <v>0</v>
      </c>
      <c r="AF47" s="205"/>
      <c r="AG47" s="205">
        <f>SUM(AG6:AG45)</f>
        <v>21800</v>
      </c>
      <c r="AH47" s="205"/>
      <c r="AI47" s="205">
        <f>SUM(AI6:AI45)</f>
        <v>0</v>
      </c>
      <c r="AJ47" s="205"/>
      <c r="AK47" s="205">
        <f>SUM(AK6:AK45)</f>
        <v>31071</v>
      </c>
      <c r="AL47" s="205"/>
      <c r="AM47" s="205">
        <f>SUM(AM6:AM45)</f>
        <v>30.88</v>
      </c>
      <c r="AN47" s="205"/>
      <c r="AO47" s="205">
        <f>SUM(AO6:AO45)</f>
        <v>0</v>
      </c>
      <c r="AP47" s="205"/>
      <c r="AQ47" s="205">
        <f>SUM(AQ6:AQ45)</f>
        <v>0</v>
      </c>
      <c r="AR47" s="205"/>
      <c r="AS47" s="205">
        <f>SUM(AS6:AS45)</f>
        <v>0</v>
      </c>
      <c r="AT47" s="205"/>
      <c r="AU47" s="205">
        <f>SUM(AU6:AU45)</f>
        <v>0</v>
      </c>
      <c r="AV47" s="205"/>
      <c r="AW47" s="205">
        <f>SUM(AW6:AW45)</f>
        <v>0</v>
      </c>
      <c r="AX47" s="205"/>
      <c r="AY47" s="205">
        <f>SUM(AY6:AY45)</f>
        <v>0</v>
      </c>
      <c r="AZ47" s="205"/>
      <c r="BA47" s="205">
        <f>SUM(BA6:BA45)</f>
        <v>1067480</v>
      </c>
      <c r="BB47" s="205"/>
      <c r="BC47" s="205">
        <f>SUM(BC6:BC45)</f>
        <v>698804.66800000006</v>
      </c>
      <c r="BD47" s="205"/>
      <c r="BE47" s="205">
        <f>SUM(BE6:BE45)</f>
        <v>258354.19199999998</v>
      </c>
      <c r="BF47" s="205"/>
      <c r="BG47" s="205">
        <f>SUM(BG6:BG45)</f>
        <v>5724.9</v>
      </c>
      <c r="BH47" s="205"/>
      <c r="BI47" s="205">
        <f>SUM(BI6:BI45)</f>
        <v>0</v>
      </c>
      <c r="BJ47" s="205"/>
      <c r="BK47" s="205">
        <f>SUM(BK6:BK45)</f>
        <v>4727.8</v>
      </c>
      <c r="BL47" s="205"/>
      <c r="BM47" s="205">
        <f>SUM(BM6:BM45)</f>
        <v>12000</v>
      </c>
      <c r="BN47" s="205"/>
      <c r="BO47" s="205">
        <f>SUM(BO6:BO45)</f>
        <v>1086</v>
      </c>
      <c r="BP47" s="205"/>
      <c r="BQ47" s="205">
        <f>SUM(BQ6:BQ45)</f>
        <v>0</v>
      </c>
      <c r="BR47" s="203">
        <f t="shared" si="0"/>
        <v>-2170688.34</v>
      </c>
      <c r="BS47" s="202" t="s">
        <v>29</v>
      </c>
    </row>
    <row r="48" spans="1:72" s="202" customFormat="1">
      <c r="B48" s="204" t="s">
        <v>197</v>
      </c>
      <c r="C48" s="204"/>
      <c r="D48" s="206">
        <f>IF(D46&gt;=E47,D46-E47,"")</f>
        <v>100</v>
      </c>
      <c r="E48" s="206" t="str">
        <f>IF(D46&lt;E47,E47-D46,"")</f>
        <v/>
      </c>
      <c r="F48" s="206">
        <f>IF(F46&gt;=G47,F46-G47,"")</f>
        <v>585.02000000001863</v>
      </c>
      <c r="G48" s="206" t="str">
        <f>IF(F46&lt;G47,G47-F46,"")</f>
        <v/>
      </c>
      <c r="H48" s="206">
        <f>IF(H46&gt;=I47,H46-I47,"")</f>
        <v>0</v>
      </c>
      <c r="I48" s="206" t="str">
        <f>IF(H46&lt;I47,I47-H46,"")</f>
        <v/>
      </c>
      <c r="J48" s="206">
        <f>IF(J46&gt;=K47,J46-K47,"")</f>
        <v>0</v>
      </c>
      <c r="K48" s="206" t="str">
        <f>IF(J46&lt;K47,K47-J46,"")</f>
        <v/>
      </c>
      <c r="L48" s="206">
        <f>IF(L46&gt;=M47,L46-M47,"")</f>
        <v>5203</v>
      </c>
      <c r="M48" s="206" t="str">
        <f>IF(L46&lt;M47,M47-L46,"")</f>
        <v/>
      </c>
      <c r="N48" s="206">
        <f>IF(N46&gt;=O47,N46-O47,"")</f>
        <v>4850</v>
      </c>
      <c r="O48" s="206" t="str">
        <f>IF(N46&lt;O47,O47-N46,"")</f>
        <v/>
      </c>
      <c r="P48" s="206">
        <f>IF(P46&gt;=Q47,P46-Q47,"")</f>
        <v>1160</v>
      </c>
      <c r="Q48" s="206" t="str">
        <f>IF(P46&lt;Q47,Q47-P46,"")</f>
        <v/>
      </c>
      <c r="R48" s="206">
        <f>IF(R46&gt;=S47,R46-S47,"")</f>
        <v>2316</v>
      </c>
      <c r="S48" s="206" t="str">
        <f>IF(R46&lt;S47,S47-R46,"")</f>
        <v/>
      </c>
      <c r="T48" s="206">
        <f>IF(T46&gt;=U47,T46-U47,"")</f>
        <v>8969.7799999999988</v>
      </c>
      <c r="U48" s="206" t="str">
        <f>IF(T46&lt;U47,U47-T46,"")</f>
        <v/>
      </c>
      <c r="V48" s="206">
        <f>IF(V46&gt;=W47,V46-W47,"")</f>
        <v>2500</v>
      </c>
      <c r="W48" s="206" t="str">
        <f>IF(V46&lt;W47,W47-V46,"")</f>
        <v/>
      </c>
      <c r="X48" s="206">
        <f>IF(X46&gt;=Y47,X46-Y47,"")</f>
        <v>315</v>
      </c>
      <c r="Y48" s="206" t="str">
        <f>IF(X46&lt;Y47,Y47-X46,"")</f>
        <v/>
      </c>
      <c r="Z48" s="206">
        <f>IF(Z46&gt;=AA47,Z46-AA47,"")</f>
        <v>10000</v>
      </c>
      <c r="AA48" s="206" t="str">
        <f>IF(Z46&lt;AA47,AA47-Z46,"")</f>
        <v/>
      </c>
      <c r="AB48" s="206">
        <f>IF(AB46&gt;=AC47,AB46-AC47,"")</f>
        <v>9093</v>
      </c>
      <c r="AC48" s="206" t="str">
        <f>IF(AB46&lt;AC47,AC47-AB46,"")</f>
        <v/>
      </c>
      <c r="AD48" s="206">
        <f>IF(AD46&gt;=AE47,AD46-AE47,"")</f>
        <v>4935</v>
      </c>
      <c r="AE48" s="206" t="str">
        <f>IF(AD46&lt;AE47,AE47-AD46,"")</f>
        <v/>
      </c>
      <c r="AF48" s="206" t="str">
        <f>IF(AF46&gt;=AG47,AF46-AG47,"")</f>
        <v/>
      </c>
      <c r="AG48" s="206">
        <f>IF(AF46&lt;AG47,AG47-AF46,"")</f>
        <v>21600</v>
      </c>
      <c r="AH48" s="206">
        <f>IF(AH46&gt;=AI47,AH46-AI47,"")</f>
        <v>952288.94</v>
      </c>
      <c r="AI48" s="206" t="str">
        <f>IF(AH46&lt;AI47,AI47-AH46,"")</f>
        <v/>
      </c>
      <c r="AJ48" s="206" t="str">
        <f>IF(AJ46&gt;=AK47,AJ46-AK47,"")</f>
        <v/>
      </c>
      <c r="AK48" s="206">
        <f>IF(AJ46&lt;AK47,AK47-AJ46,"")</f>
        <v>31071</v>
      </c>
      <c r="AL48" s="206" t="str">
        <f>IF(AL46&gt;=AM47,AL46-AM47,"")</f>
        <v/>
      </c>
      <c r="AM48" s="206">
        <f>IF(AL46&lt;AM47,AM47-AL46,"")</f>
        <v>30.88</v>
      </c>
      <c r="AN48" s="206">
        <f>IF(AN46&gt;=AO47,AN46-AO47,"")</f>
        <v>0</v>
      </c>
      <c r="AO48" s="206" t="str">
        <f>IF(AN46&lt;AO47,AO47-AN46,"")</f>
        <v/>
      </c>
      <c r="AP48" s="206">
        <f>IF(AP46&gt;=AQ47,AP46-AQ47,"")</f>
        <v>0</v>
      </c>
      <c r="AQ48" s="206" t="str">
        <f>IF(AP46&lt;AQ47,AQ47-AP46,"")</f>
        <v/>
      </c>
      <c r="AR48" s="206">
        <f>IF(AR46&gt;=AS47,AR46-AS47,"")</f>
        <v>0</v>
      </c>
      <c r="AS48" s="206" t="str">
        <f>IF(AR46&lt;AS47,AS47-AR46,"")</f>
        <v/>
      </c>
      <c r="AT48" s="206">
        <f>IF(AT46&gt;=AU47,AT46-AU47,"")</f>
        <v>950000</v>
      </c>
      <c r="AU48" s="206" t="str">
        <f>IF(AT46&lt;AU47,AU47-AT46,"")</f>
        <v/>
      </c>
      <c r="AV48" s="206">
        <f>IF(AV46&gt;=AW47,AV46-AW47,"")</f>
        <v>112480</v>
      </c>
      <c r="AW48" s="206" t="str">
        <f>IF(AV46&lt;AW47,AW47-AV46,"")</f>
        <v/>
      </c>
      <c r="AX48" s="206">
        <f>IF(AX46&gt;=AY47,AX46-AY47,"")</f>
        <v>5000</v>
      </c>
      <c r="AY48" s="206" t="str">
        <f>IF(AX46&lt;AY47,AY47-AX46,"")</f>
        <v/>
      </c>
      <c r="AZ48" s="206" t="str">
        <f>IF(AZ46&gt;=BA47,AZ46-BA47,"")</f>
        <v/>
      </c>
      <c r="BA48" s="206">
        <f>IF(AZ46&lt;BA47,BA47-AZ46,"")</f>
        <v>1067480</v>
      </c>
      <c r="BB48" s="206" t="str">
        <f>IF(BB46&gt;=BC47,BB46-BC47,"")</f>
        <v/>
      </c>
      <c r="BC48" s="206">
        <f>IF(BB46&lt;BC47,BC47-BB46,"")</f>
        <v>698804.66800000006</v>
      </c>
      <c r="BD48" s="206" t="str">
        <f>IF(BD46&gt;=BE47,BD46-BE47,"")</f>
        <v/>
      </c>
      <c r="BE48" s="206">
        <f>IF(BD46&lt;BE47,BE47-BD46,"")</f>
        <v>258354.19199999998</v>
      </c>
      <c r="BF48" s="206">
        <f>IF(BF46&gt;=BG47,BF46-BG47,"")</f>
        <v>8541</v>
      </c>
      <c r="BG48" s="206" t="str">
        <f>IF(BF46&lt;BG47,BG47-BF46,"")</f>
        <v/>
      </c>
      <c r="BH48" s="206">
        <f>IF(BH46&gt;=BI47,BH46-BI47,"")</f>
        <v>0</v>
      </c>
      <c r="BI48" s="206" t="str">
        <f>IF(BH46&lt;BI47,BI47-BH46,"")</f>
        <v/>
      </c>
      <c r="BJ48" s="206">
        <f>IF(BJ46&gt;=BK47,BJ46-BK47,"")</f>
        <v>0</v>
      </c>
      <c r="BK48" s="206" t="str">
        <f>IF(BJ46&lt;BK47,BK47-BJ46,"")</f>
        <v/>
      </c>
      <c r="BL48" s="206">
        <f>IF(BL46&gt;=BM47,BL46-BM47,"")</f>
        <v>0</v>
      </c>
      <c r="BM48" s="206" t="str">
        <f>IF(BL46&lt;BM47,BM47-BL46,"")</f>
        <v/>
      </c>
      <c r="BN48" s="206" t="str">
        <f>IF(BN46&gt;=BO47,BN46-BO47,"")</f>
        <v/>
      </c>
      <c r="BO48" s="206">
        <f>IF(BN46&lt;BO47,BO47-BN46,"")</f>
        <v>1086</v>
      </c>
      <c r="BP48" s="206">
        <f>IF(BP46&gt;=BQ47,BP46-BQ47,"")</f>
        <v>90</v>
      </c>
      <c r="BQ48" s="206" t="str">
        <f>IF(BP46&lt;BQ47,BQ47-BP46,"")</f>
        <v/>
      </c>
      <c r="BR48" s="203"/>
    </row>
    <row r="49" spans="2:71" s="202" customFormat="1">
      <c r="B49" s="207" t="s">
        <v>172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5"/>
      <c r="AF49" s="205"/>
      <c r="AG49" s="205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6"/>
      <c r="BB49" s="203"/>
      <c r="BC49" s="206">
        <v>6220</v>
      </c>
      <c r="BD49" s="203">
        <v>2859.9</v>
      </c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193">
        <f>D49-E49+F49-G49+H49-I49+J49-K49+L49-M49+N49-O49+P49-Q49+R49-S49+T49-U49+V49-W49+X49-Y49+Z49-AA49+AB49-AC49+AD49-AE49+AF49-AG49+AH49-AI49+AJ49-AK49+AL49-AM49+AN49-AO49+AP49-AQ49+AR49-AS49+AT49-AU49+AV49-AW49+AX49-AY49+AZ49-BA49+BB49-BC49+BD49-BE49+BF49-BG49+BH49-BI49+BJ49-BK49+BL49-BM49+BN49-BO49+BP49-BQ49</f>
        <v>-3360.1</v>
      </c>
      <c r="BS49" s="203"/>
    </row>
    <row r="50" spans="2:71" s="202" customFormat="1">
      <c r="B50" s="204" t="s">
        <v>442</v>
      </c>
      <c r="C50" s="204"/>
      <c r="D50" s="206">
        <f>D48+D49</f>
        <v>100</v>
      </c>
      <c r="E50" s="206"/>
      <c r="F50" s="206">
        <f>F48+F49</f>
        <v>585.02000000001863</v>
      </c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>
        <f>AH48+AH49</f>
        <v>952288.94</v>
      </c>
      <c r="AI50" s="206"/>
      <c r="AJ50" s="206"/>
      <c r="AK50" s="206"/>
      <c r="AL50" s="206"/>
      <c r="AM50" s="206"/>
      <c r="AN50" s="206"/>
      <c r="AO50" s="206"/>
      <c r="AP50" s="206"/>
      <c r="AQ50" s="206"/>
      <c r="AR50" s="206">
        <f>AR48+AR49</f>
        <v>0</v>
      </c>
      <c r="AS50" s="206"/>
      <c r="AT50" s="206">
        <f>AT48+AT49</f>
        <v>950000</v>
      </c>
      <c r="AU50" s="206"/>
      <c r="AV50" s="206">
        <f>AV48+AV49</f>
        <v>112480</v>
      </c>
      <c r="AW50" s="206"/>
      <c r="AX50" s="206">
        <f>AX48+AX49</f>
        <v>5000</v>
      </c>
      <c r="AY50" s="206"/>
      <c r="AZ50" s="206"/>
      <c r="BA50" s="206">
        <f>BA48+BA49</f>
        <v>1067480</v>
      </c>
      <c r="BB50" s="206"/>
      <c r="BC50" s="206">
        <f>BC48+BC49</f>
        <v>705024.66800000006</v>
      </c>
      <c r="BD50" s="206"/>
      <c r="BE50" s="206">
        <f>BE48+BE49-BD49</f>
        <v>255494.29199999999</v>
      </c>
      <c r="BF50" s="206">
        <f>BF48+BF49</f>
        <v>8541</v>
      </c>
      <c r="BG50" s="206"/>
      <c r="BH50" s="206">
        <f>BH48+BH49</f>
        <v>0</v>
      </c>
      <c r="BI50" s="206"/>
      <c r="BJ50" s="206">
        <f>BJ48+BJ49</f>
        <v>0</v>
      </c>
      <c r="BK50" s="206"/>
      <c r="BL50" s="206">
        <f>BL48+BL49</f>
        <v>0</v>
      </c>
      <c r="BM50" s="206"/>
      <c r="BN50" s="206"/>
      <c r="BO50" s="206">
        <f>BO48+BO49</f>
        <v>1086</v>
      </c>
      <c r="BP50" s="206">
        <f>BP48+BP49</f>
        <v>90</v>
      </c>
      <c r="BQ50" s="206"/>
      <c r="BR50" s="193">
        <f>D50-E50+F50-G50+H50-I50+J50-K50+L50-M50+N50-O50+P50-Q50+R50-S50+T50-U50+V50-W50+X50-Y50+Z50-AA50+AB50-AC50+AD50-AE50+AF50-AG50+AH50-AI50+AJ50-AK50+AL50-AM50+AN50-AO50+AP50-AQ50+AR50-AS50+AT50-AU50+AV50-AW50+AX50-AY50+AZ50-BA50+BB50-BC50+BD50-BE50+BF50-BG50+BH50-BI50+BJ50-BK50+BL50-BM50+BN50-BO50+BP50-BQ50</f>
        <v>-8.7311491370201111E-11</v>
      </c>
    </row>
    <row r="51" spans="2:71">
      <c r="B51" s="158"/>
      <c r="G51" s="113"/>
      <c r="H51" s="159"/>
      <c r="BR51" s="113"/>
    </row>
    <row r="52" spans="2:71">
      <c r="E52" s="43"/>
      <c r="F52" s="113"/>
    </row>
    <row r="53" spans="2:71">
      <c r="BR53" s="113"/>
    </row>
    <row r="54" spans="2:71" ht="24.75">
      <c r="B54" s="147" t="s">
        <v>437</v>
      </c>
      <c r="F54" s="113"/>
    </row>
    <row r="56" spans="2:71" ht="19.5">
      <c r="B56" s="148" t="s">
        <v>51</v>
      </c>
      <c r="C56" s="148"/>
      <c r="D56" s="148">
        <v>2009</v>
      </c>
      <c r="E56" s="148">
        <v>2008</v>
      </c>
    </row>
    <row r="57" spans="2:71">
      <c r="B57" s="35"/>
    </row>
    <row r="58" spans="2:71">
      <c r="B58" s="33" t="s">
        <v>52</v>
      </c>
    </row>
    <row r="59" spans="2:71">
      <c r="B59" s="33" t="s">
        <v>53</v>
      </c>
      <c r="H59" s="35"/>
      <c r="AF59" s="34"/>
      <c r="AG59" s="34"/>
    </row>
    <row r="60" spans="2:71">
      <c r="B60" s="36" t="s">
        <v>54</v>
      </c>
      <c r="D60" s="155">
        <f>$D$46-$E$47</f>
        <v>100</v>
      </c>
      <c r="E60" s="155">
        <f>$D$6-$E$6</f>
        <v>100</v>
      </c>
      <c r="H60" s="35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5"/>
      <c r="AG60" s="75"/>
    </row>
    <row r="61" spans="2:71">
      <c r="B61" s="36" t="s">
        <v>368</v>
      </c>
      <c r="D61" s="155">
        <f>$F$46-$G$47</f>
        <v>585.02000000001863</v>
      </c>
      <c r="E61" s="155">
        <f>$F$6-$G$6</f>
        <v>43634.840000000011</v>
      </c>
      <c r="F61" s="77"/>
      <c r="H61" s="64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5"/>
      <c r="AG61" s="75"/>
    </row>
    <row r="62" spans="2:71">
      <c r="B62" s="36" t="s">
        <v>57</v>
      </c>
      <c r="D62" s="155">
        <f>$AH$46-$AI$47</f>
        <v>952288.94</v>
      </c>
      <c r="E62" s="155">
        <f>$AH$6-$AI$6</f>
        <v>921217.94</v>
      </c>
      <c r="F62" s="77"/>
      <c r="H62" s="64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5"/>
      <c r="AG62" s="75"/>
    </row>
    <row r="63" spans="2:71">
      <c r="B63" s="36" t="s">
        <v>58</v>
      </c>
      <c r="C63" s="177" t="s">
        <v>501</v>
      </c>
      <c r="D63" s="155">
        <f>$BF$46-$BG$47</f>
        <v>8541</v>
      </c>
      <c r="E63" s="155">
        <f>$BF$6-$BG$6</f>
        <v>-521.71999999999935</v>
      </c>
      <c r="F63" s="77"/>
      <c r="G63" s="77"/>
      <c r="H63" s="64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5"/>
      <c r="AG63" s="75"/>
    </row>
    <row r="64" spans="2:71">
      <c r="B64" s="36" t="s">
        <v>484</v>
      </c>
      <c r="C64" s="177" t="s">
        <v>502</v>
      </c>
      <c r="D64" s="155">
        <f>$BP$46-$BQ$47</f>
        <v>90</v>
      </c>
      <c r="E64" s="155"/>
      <c r="F64" s="77"/>
      <c r="H64" s="64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5"/>
      <c r="AG64" s="75"/>
    </row>
    <row r="65" spans="2:33">
      <c r="B65" s="36" t="s">
        <v>144</v>
      </c>
      <c r="C65" s="177"/>
      <c r="D65" s="155">
        <f>$BJ$46-$BK$47</f>
        <v>0</v>
      </c>
      <c r="E65" s="155">
        <f>$BJ$6-$BK$6</f>
        <v>4727.8</v>
      </c>
      <c r="F65" s="77"/>
      <c r="G65" s="77"/>
      <c r="H65" s="65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5"/>
      <c r="AG65" s="75"/>
    </row>
    <row r="66" spans="2:33" ht="13.5" thickBot="1">
      <c r="B66" s="33" t="s">
        <v>60</v>
      </c>
      <c r="D66" s="156">
        <f>SUM(D60:D65)</f>
        <v>961604.96</v>
      </c>
      <c r="E66" s="156">
        <f>SUM(E60:E65)</f>
        <v>969158.86</v>
      </c>
      <c r="F66" s="37"/>
      <c r="H66" s="64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5"/>
      <c r="AG66" s="75"/>
    </row>
    <row r="67" spans="2:33" ht="13.5" thickTop="1">
      <c r="B67" s="35"/>
      <c r="D67" s="77"/>
      <c r="E67" s="77"/>
      <c r="F67" s="37"/>
      <c r="H67" s="64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5"/>
      <c r="AG67" s="75"/>
    </row>
    <row r="68" spans="2:33">
      <c r="B68" s="35"/>
      <c r="D68" s="77"/>
      <c r="E68" s="94"/>
      <c r="F68" s="37"/>
      <c r="H68" s="64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5"/>
      <c r="AG68" s="75"/>
    </row>
    <row r="69" spans="2:33">
      <c r="B69" s="33" t="s">
        <v>61</v>
      </c>
      <c r="D69" s="77"/>
      <c r="E69" s="77"/>
      <c r="F69" s="37"/>
      <c r="H69" s="64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5"/>
      <c r="AG69" s="75"/>
    </row>
    <row r="70" spans="2:33">
      <c r="B70" s="36"/>
      <c r="D70" s="155"/>
      <c r="E70" s="155"/>
      <c r="F70" s="37"/>
      <c r="G70" s="77"/>
      <c r="H70" s="64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5"/>
      <c r="AG70" s="75"/>
    </row>
    <row r="71" spans="2:33">
      <c r="B71" s="35" t="s">
        <v>63</v>
      </c>
      <c r="D71" s="155">
        <f>$AT$46-$AU$47</f>
        <v>950000</v>
      </c>
      <c r="E71" s="155">
        <f>$AT$6-$AU$6</f>
        <v>950000</v>
      </c>
      <c r="F71" s="37"/>
      <c r="H71" s="64"/>
    </row>
    <row r="72" spans="2:33">
      <c r="B72" s="36" t="s">
        <v>64</v>
      </c>
      <c r="D72" s="155">
        <f>$AV$46-$AW$47</f>
        <v>112480</v>
      </c>
      <c r="E72" s="155">
        <f>$AV$6-$AW$6</f>
        <v>112480</v>
      </c>
      <c r="F72" s="37"/>
    </row>
    <row r="73" spans="2:33">
      <c r="B73" s="36" t="s">
        <v>339</v>
      </c>
      <c r="D73" s="155">
        <f>$AX$46-$AY$47</f>
        <v>5000</v>
      </c>
      <c r="E73" s="155">
        <f>$AX$6-$AY$6</f>
        <v>5000</v>
      </c>
      <c r="F73" s="37"/>
    </row>
    <row r="74" spans="2:33">
      <c r="B74" s="36" t="s">
        <v>472</v>
      </c>
      <c r="D74" s="155">
        <f>$AR$46-$AS$47</f>
        <v>0</v>
      </c>
      <c r="E74" s="179" t="s">
        <v>473</v>
      </c>
      <c r="F74" s="37"/>
    </row>
    <row r="75" spans="2:33" ht="13.5" thickBot="1">
      <c r="B75" s="38" t="s">
        <v>66</v>
      </c>
      <c r="D75" s="156">
        <f>SUM(D71:D74)</f>
        <v>1067480</v>
      </c>
      <c r="E75" s="156">
        <f>SUM(E71:E74)</f>
        <v>1067480</v>
      </c>
      <c r="F75" s="37"/>
    </row>
    <row r="76" spans="2:33" ht="13.5" thickTop="1">
      <c r="B76" s="35"/>
      <c r="D76" s="77"/>
      <c r="E76" s="77"/>
      <c r="F76" s="37"/>
    </row>
    <row r="77" spans="2:33">
      <c r="B77" s="35"/>
      <c r="D77" s="77"/>
      <c r="E77" s="77"/>
      <c r="F77" s="37"/>
    </row>
    <row r="78" spans="2:33" ht="13.5" thickBot="1">
      <c r="B78" s="38" t="s">
        <v>67</v>
      </c>
      <c r="D78" s="156">
        <f>D66+D75</f>
        <v>2029084.96</v>
      </c>
      <c r="E78" s="156">
        <f>E66+E75</f>
        <v>2036638.8599999999</v>
      </c>
      <c r="F78" s="37"/>
      <c r="AF78" s="75"/>
      <c r="AG78" s="75"/>
    </row>
    <row r="79" spans="2:33" ht="13.5" thickTop="1">
      <c r="B79" s="35"/>
      <c r="D79" s="77"/>
      <c r="E79" s="77"/>
      <c r="AF79" s="75"/>
      <c r="AG79" s="75"/>
    </row>
    <row r="80" spans="2:33">
      <c r="B80" s="35"/>
      <c r="D80" s="77"/>
      <c r="E80" s="77"/>
      <c r="AF80" s="75"/>
      <c r="AG80" s="75"/>
    </row>
    <row r="81" spans="2:33">
      <c r="B81" s="33" t="s">
        <v>68</v>
      </c>
      <c r="D81" s="77"/>
      <c r="E81" s="77"/>
      <c r="AF81" s="75"/>
      <c r="AG81" s="75"/>
    </row>
    <row r="82" spans="2:33">
      <c r="B82" s="35" t="s">
        <v>69</v>
      </c>
      <c r="C82" s="177" t="s">
        <v>506</v>
      </c>
      <c r="D82" s="155">
        <f>-$BN$46+$BO$47</f>
        <v>1086</v>
      </c>
      <c r="E82" s="155">
        <f>-$BN$6+$BO$6</f>
        <v>0</v>
      </c>
      <c r="AF82" s="75"/>
      <c r="AG82" s="75"/>
    </row>
    <row r="83" spans="2:33">
      <c r="B83" s="36" t="s">
        <v>426</v>
      </c>
      <c r="D83" s="155">
        <f>-$BL$46+$BM$47</f>
        <v>0</v>
      </c>
      <c r="E83" s="155">
        <f>-$BL$6+$BM$6</f>
        <v>12000</v>
      </c>
      <c r="AF83" s="75"/>
      <c r="AG83" s="75"/>
    </row>
    <row r="84" spans="2:33" ht="13.5" thickBot="1">
      <c r="B84" s="33" t="s">
        <v>70</v>
      </c>
      <c r="D84" s="156">
        <f>SUM(D82:D83)</f>
        <v>1086</v>
      </c>
      <c r="E84" s="156">
        <f>SUM(E82:E83)</f>
        <v>12000</v>
      </c>
      <c r="H84" s="34"/>
    </row>
    <row r="85" spans="2:33" ht="13.5" thickTop="1">
      <c r="B85" s="35"/>
      <c r="D85" s="77"/>
      <c r="E85" s="77"/>
      <c r="G85" s="152"/>
    </row>
    <row r="86" spans="2:33">
      <c r="B86" s="35"/>
      <c r="D86" s="77"/>
      <c r="E86" s="77"/>
    </row>
    <row r="87" spans="2:33">
      <c r="B87" s="33" t="s">
        <v>71</v>
      </c>
      <c r="D87" s="77"/>
      <c r="E87" s="77"/>
    </row>
    <row r="88" spans="2:33">
      <c r="B88" s="35" t="s">
        <v>72</v>
      </c>
      <c r="D88" s="155">
        <f>-$AZ$46+$BA$47</f>
        <v>1067480</v>
      </c>
      <c r="E88" s="155">
        <f>-$AZ$6+$BA$6</f>
        <v>1067480</v>
      </c>
      <c r="F88" s="77"/>
      <c r="H88" s="77"/>
    </row>
    <row r="89" spans="2:33">
      <c r="B89" s="36" t="s">
        <v>73</v>
      </c>
      <c r="D89" s="155">
        <f>-$BB$46+$BC$47</f>
        <v>698804.66800000006</v>
      </c>
      <c r="E89" s="155">
        <f>-$BB$6+$BC$6</f>
        <v>698804.66800000006</v>
      </c>
    </row>
    <row r="90" spans="2:33">
      <c r="B90" s="36" t="s">
        <v>74</v>
      </c>
      <c r="D90" s="155">
        <f>-$BD$46+$BE$47</f>
        <v>258354.19199999998</v>
      </c>
      <c r="E90" s="155">
        <f>-$BD$6+$BE$6</f>
        <v>258354.19199999998</v>
      </c>
      <c r="F90" s="39"/>
    </row>
    <row r="91" spans="2:33" ht="13.5" thickBot="1">
      <c r="B91" s="38" t="s">
        <v>75</v>
      </c>
      <c r="D91" s="156">
        <f>SUM(D88:D90)</f>
        <v>2024638.86</v>
      </c>
      <c r="E91" s="156">
        <f>SUM(E88:E90)</f>
        <v>2024638.86</v>
      </c>
      <c r="F91" s="66"/>
    </row>
    <row r="92" spans="2:33" ht="13.5" thickTop="1">
      <c r="B92" s="35"/>
      <c r="D92" s="77"/>
      <c r="E92" s="77"/>
    </row>
    <row r="93" spans="2:33">
      <c r="B93" s="33" t="s">
        <v>76</v>
      </c>
      <c r="D93" s="77"/>
      <c r="E93" s="77"/>
      <c r="F93" s="77"/>
    </row>
    <row r="94" spans="2:33">
      <c r="B94" s="36" t="s">
        <v>369</v>
      </c>
      <c r="D94" s="155">
        <f>D78-D84-D91</f>
        <v>3360.0999999998603</v>
      </c>
      <c r="E94" s="155">
        <v>0</v>
      </c>
      <c r="F94" s="41"/>
    </row>
    <row r="95" spans="2:33">
      <c r="B95" s="35"/>
      <c r="D95" s="77"/>
      <c r="E95" s="77"/>
    </row>
    <row r="96" spans="2:33" ht="13.5" thickBot="1">
      <c r="B96" s="33" t="s">
        <v>77</v>
      </c>
      <c r="D96" s="156">
        <f>D84+D91+D94</f>
        <v>2029084.96</v>
      </c>
      <c r="E96" s="156">
        <f>E84+E91+E94</f>
        <v>2036638.86</v>
      </c>
    </row>
    <row r="97" spans="2:31" ht="13.5" thickTop="1">
      <c r="B97" s="35"/>
      <c r="D97" s="77"/>
      <c r="E97" s="77"/>
    </row>
    <row r="98" spans="2:31">
      <c r="D98" s="77"/>
      <c r="E98" s="77"/>
    </row>
    <row r="99" spans="2:31" ht="24.75">
      <c r="B99" s="147" t="s">
        <v>438</v>
      </c>
      <c r="D99" s="77"/>
      <c r="E99" s="77"/>
    </row>
    <row r="100" spans="2:31">
      <c r="D100" s="77"/>
      <c r="E100" s="77"/>
      <c r="F100" s="35"/>
      <c r="G100" s="73"/>
    </row>
    <row r="101" spans="2:31" ht="19.5">
      <c r="B101" s="148" t="s">
        <v>313</v>
      </c>
      <c r="C101" s="148"/>
      <c r="D101" s="148">
        <v>2009</v>
      </c>
      <c r="E101" s="148">
        <v>2008</v>
      </c>
      <c r="F101" s="148" t="s">
        <v>385</v>
      </c>
      <c r="G101" s="149" t="s">
        <v>440</v>
      </c>
      <c r="H101" s="150" t="s">
        <v>315</v>
      </c>
      <c r="I101" s="148" t="s">
        <v>439</v>
      </c>
    </row>
    <row r="102" spans="2:31">
      <c r="B102" s="34" t="s">
        <v>153</v>
      </c>
      <c r="D102" s="77"/>
      <c r="E102" s="77"/>
      <c r="F102" s="35"/>
      <c r="G102" s="35"/>
    </row>
    <row r="103" spans="2:31">
      <c r="B103" t="s">
        <v>154</v>
      </c>
      <c r="D103" s="155">
        <f>-$AF$46+$AG$47</f>
        <v>21600</v>
      </c>
      <c r="E103" s="155">
        <v>21800</v>
      </c>
      <c r="F103" s="155">
        <v>22000</v>
      </c>
      <c r="G103" s="155">
        <f>D103-F103</f>
        <v>-400</v>
      </c>
      <c r="H103" s="151">
        <f>IF(F103=0,"---",G103/F103)</f>
        <v>-1.8181818181818181E-2</v>
      </c>
      <c r="I103" s="155">
        <v>22000</v>
      </c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</row>
    <row r="104" spans="2:31">
      <c r="B104" t="s">
        <v>155</v>
      </c>
      <c r="D104" s="155">
        <f>-$AJ$46+$AK$47</f>
        <v>31071</v>
      </c>
      <c r="E104" s="155">
        <v>53255</v>
      </c>
      <c r="F104" s="155">
        <v>40000</v>
      </c>
      <c r="G104" s="155">
        <f>D104-F104</f>
        <v>-8929</v>
      </c>
      <c r="H104" s="151">
        <f>IF(F104=0,"---",G104/F104)</f>
        <v>-0.22322500000000001</v>
      </c>
      <c r="I104" s="155">
        <v>32000</v>
      </c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</row>
    <row r="105" spans="2:31">
      <c r="B105" t="s">
        <v>156</v>
      </c>
      <c r="D105" s="155">
        <f>-$AL$46+$AM$47</f>
        <v>30.88</v>
      </c>
      <c r="E105" s="155">
        <v>63.36</v>
      </c>
      <c r="F105" s="155">
        <v>50</v>
      </c>
      <c r="G105" s="155">
        <f>D105-F105</f>
        <v>-19.12</v>
      </c>
      <c r="H105" s="151">
        <f>IF(F105=0,"---",G105/F105)</f>
        <v>-0.38240000000000002</v>
      </c>
      <c r="I105" s="155">
        <v>0</v>
      </c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</row>
    <row r="106" spans="2:31">
      <c r="B106" s="79" t="s">
        <v>355</v>
      </c>
      <c r="D106" s="155">
        <f>-$AN$46+$AO$47</f>
        <v>0</v>
      </c>
      <c r="E106" s="155">
        <v>0</v>
      </c>
      <c r="F106" s="155">
        <v>0</v>
      </c>
      <c r="G106" s="155"/>
      <c r="H106" s="151"/>
      <c r="I106" s="155">
        <v>0</v>
      </c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</row>
    <row r="107" spans="2:31" ht="16.5" thickBot="1">
      <c r="B107" s="154" t="s">
        <v>158</v>
      </c>
      <c r="C107" s="154"/>
      <c r="D107" s="156">
        <f>SUM(D103:D106)</f>
        <v>52701.88</v>
      </c>
      <c r="E107" s="156">
        <f>SUM(E103:E106)</f>
        <v>75118.36</v>
      </c>
      <c r="F107" s="156">
        <v>62050</v>
      </c>
      <c r="G107" s="156">
        <f>SUM(G103:G106)</f>
        <v>-9348.1200000000008</v>
      </c>
      <c r="H107" s="153">
        <f>IF(F107=0,"---",G107/F107)</f>
        <v>-0.15065463336019341</v>
      </c>
      <c r="I107" s="156">
        <f>SUM(I103:I106)</f>
        <v>54000</v>
      </c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</row>
    <row r="108" spans="2:31" ht="13.5" thickTop="1">
      <c r="D108" s="77"/>
      <c r="E108" s="77"/>
      <c r="F108" s="77"/>
      <c r="G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</row>
    <row r="109" spans="2:31">
      <c r="B109" s="34" t="s">
        <v>159</v>
      </c>
      <c r="D109" s="77"/>
      <c r="E109" s="77"/>
      <c r="F109" s="77"/>
      <c r="G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</row>
    <row r="110" spans="2:31">
      <c r="B110" t="s">
        <v>485</v>
      </c>
      <c r="D110" s="155">
        <f>$H$46-$I$47</f>
        <v>0</v>
      </c>
      <c r="E110" s="155">
        <v>0</v>
      </c>
      <c r="F110" s="155">
        <v>5000</v>
      </c>
      <c r="G110" s="155">
        <f>D110-F110</f>
        <v>-5000</v>
      </c>
      <c r="H110" s="151">
        <f t="shared" ref="H110:H122" si="1">IF(F110=0,"---",G110/F110)</f>
        <v>-1</v>
      </c>
      <c r="I110" s="155">
        <v>10000</v>
      </c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</row>
    <row r="111" spans="2:31">
      <c r="B111" t="s">
        <v>487</v>
      </c>
      <c r="D111" s="155">
        <f>$J$46-$K$47</f>
        <v>0</v>
      </c>
      <c r="E111" s="155">
        <v>0</v>
      </c>
      <c r="F111" s="155">
        <v>5000</v>
      </c>
      <c r="G111" s="155">
        <f t="shared" ref="G111:G121" si="2">D111-F111</f>
        <v>-5000</v>
      </c>
      <c r="H111" s="151">
        <f t="shared" si="1"/>
        <v>-1</v>
      </c>
      <c r="I111" s="155">
        <v>5000</v>
      </c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</row>
    <row r="112" spans="2:31">
      <c r="B112" t="s">
        <v>488</v>
      </c>
      <c r="C112" s="177" t="s">
        <v>378</v>
      </c>
      <c r="D112" s="155">
        <f>$L$46-$M$47</f>
        <v>5203</v>
      </c>
      <c r="E112" s="155">
        <v>7300</v>
      </c>
      <c r="F112" s="155">
        <v>8000</v>
      </c>
      <c r="G112" s="155">
        <f t="shared" si="2"/>
        <v>-2797</v>
      </c>
      <c r="H112" s="151">
        <f t="shared" si="1"/>
        <v>-0.34962500000000002</v>
      </c>
      <c r="I112" s="155">
        <v>7000</v>
      </c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</row>
    <row r="113" spans="2:31">
      <c r="B113" t="s">
        <v>163</v>
      </c>
      <c r="C113" s="177" t="s">
        <v>379</v>
      </c>
      <c r="D113" s="155">
        <f>$N$46-$O$47</f>
        <v>4850</v>
      </c>
      <c r="E113" s="155">
        <v>0</v>
      </c>
      <c r="F113" s="155">
        <v>5000</v>
      </c>
      <c r="G113" s="155">
        <f t="shared" si="2"/>
        <v>-150</v>
      </c>
      <c r="H113" s="151">
        <f t="shared" si="1"/>
        <v>-0.03</v>
      </c>
      <c r="I113" s="155">
        <v>10000</v>
      </c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</row>
    <row r="114" spans="2:31">
      <c r="B114" t="s">
        <v>321</v>
      </c>
      <c r="D114" s="155">
        <f>$P$46-$Q$47</f>
        <v>1160</v>
      </c>
      <c r="E114" s="155">
        <v>1160</v>
      </c>
      <c r="F114" s="155">
        <v>1200</v>
      </c>
      <c r="G114" s="155">
        <f t="shared" si="2"/>
        <v>-40</v>
      </c>
      <c r="H114" s="151">
        <f t="shared" si="1"/>
        <v>-3.3333333333333333E-2</v>
      </c>
      <c r="I114" s="155">
        <v>1200</v>
      </c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</row>
    <row r="115" spans="2:31">
      <c r="B115" t="s">
        <v>95</v>
      </c>
      <c r="D115" s="155">
        <f>$R$46-$S$47</f>
        <v>2316</v>
      </c>
      <c r="E115" s="155">
        <v>2132</v>
      </c>
      <c r="F115" s="155">
        <v>2200</v>
      </c>
      <c r="G115" s="155">
        <f t="shared" si="2"/>
        <v>116</v>
      </c>
      <c r="H115" s="151">
        <f t="shared" si="1"/>
        <v>5.2727272727272727E-2</v>
      </c>
      <c r="I115" s="155">
        <v>2500</v>
      </c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</row>
    <row r="116" spans="2:31">
      <c r="B116" t="s">
        <v>166</v>
      </c>
      <c r="C116" s="177" t="s">
        <v>380</v>
      </c>
      <c r="D116" s="155">
        <f>$T$46-$U$47</f>
        <v>8969.7799999999988</v>
      </c>
      <c r="E116" s="155">
        <v>13512</v>
      </c>
      <c r="F116" s="155">
        <v>12000</v>
      </c>
      <c r="G116" s="155">
        <f t="shared" si="2"/>
        <v>-3030.2200000000012</v>
      </c>
      <c r="H116" s="151">
        <f t="shared" si="1"/>
        <v>-0.25251833333333346</v>
      </c>
      <c r="I116" s="155">
        <v>12000</v>
      </c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</row>
    <row r="117" spans="2:31">
      <c r="B117" t="s">
        <v>169</v>
      </c>
      <c r="D117" s="155">
        <f>$V$46-$W$47</f>
        <v>2500</v>
      </c>
      <c r="E117" s="155">
        <v>2500</v>
      </c>
      <c r="F117" s="155">
        <v>2500</v>
      </c>
      <c r="G117" s="155">
        <f t="shared" si="2"/>
        <v>0</v>
      </c>
      <c r="H117" s="151">
        <f t="shared" si="1"/>
        <v>0</v>
      </c>
      <c r="I117" s="155">
        <v>2500</v>
      </c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</row>
    <row r="118" spans="2:31">
      <c r="B118" t="s">
        <v>170</v>
      </c>
      <c r="D118" s="155">
        <f>$X$46-$Y$47</f>
        <v>315</v>
      </c>
      <c r="E118" s="155">
        <v>235</v>
      </c>
      <c r="F118" s="155">
        <v>500</v>
      </c>
      <c r="G118" s="155">
        <f t="shared" si="2"/>
        <v>-185</v>
      </c>
      <c r="H118" s="151">
        <f t="shared" si="1"/>
        <v>-0.37</v>
      </c>
      <c r="I118" s="155">
        <v>500</v>
      </c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</row>
    <row r="119" spans="2:31">
      <c r="B119" t="s">
        <v>422</v>
      </c>
      <c r="C119" s="177" t="s">
        <v>428</v>
      </c>
      <c r="D119" s="155">
        <f>$AB$46-$AC$47</f>
        <v>9093</v>
      </c>
      <c r="E119" s="155">
        <v>0</v>
      </c>
      <c r="F119" s="155">
        <v>10000</v>
      </c>
      <c r="G119" s="155">
        <f>D119-F119</f>
        <v>-907</v>
      </c>
      <c r="H119" s="151">
        <f>IF(F119=0,"---",G119/F119)</f>
        <v>-9.0700000000000003E-2</v>
      </c>
      <c r="I119" s="155">
        <v>0</v>
      </c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</row>
    <row r="120" spans="2:31">
      <c r="B120" t="s">
        <v>427</v>
      </c>
      <c r="C120" s="177" t="s">
        <v>430</v>
      </c>
      <c r="D120" s="155">
        <f>$Z$46-$AA$47</f>
        <v>10000</v>
      </c>
      <c r="E120" s="155">
        <v>0</v>
      </c>
      <c r="F120" s="155">
        <v>1000</v>
      </c>
      <c r="G120" s="155">
        <f>D120-F120</f>
        <v>9000</v>
      </c>
      <c r="H120" s="151">
        <f>IF(F120=0,"---",G120/F120)</f>
        <v>9</v>
      </c>
      <c r="I120" s="155">
        <v>0</v>
      </c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</row>
    <row r="121" spans="2:31">
      <c r="B121" t="s">
        <v>381</v>
      </c>
      <c r="C121" s="177" t="s">
        <v>486</v>
      </c>
      <c r="D121" s="155">
        <f>$AD$46-$AE$47</f>
        <v>4935</v>
      </c>
      <c r="E121" s="155">
        <v>12561.6</v>
      </c>
      <c r="F121" s="155">
        <v>12000</v>
      </c>
      <c r="G121" s="155">
        <f t="shared" si="2"/>
        <v>-7065</v>
      </c>
      <c r="H121" s="151">
        <f t="shared" si="1"/>
        <v>-0.58875</v>
      </c>
      <c r="I121" s="155">
        <v>0</v>
      </c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</row>
    <row r="122" spans="2:31" ht="16.5" thickBot="1">
      <c r="B122" s="154" t="s">
        <v>171</v>
      </c>
      <c r="C122" s="154"/>
      <c r="D122" s="156">
        <f>SUM(D110:D121)</f>
        <v>49341.78</v>
      </c>
      <c r="E122" s="156">
        <f>SUM(E110:E121)</f>
        <v>39400.6</v>
      </c>
      <c r="F122" s="156">
        <f>SUM(F110:F121)</f>
        <v>64400</v>
      </c>
      <c r="G122" s="156">
        <f>SUM(G110:G121)</f>
        <v>-15058.220000000001</v>
      </c>
      <c r="H122" s="153">
        <f t="shared" si="1"/>
        <v>-0.23382329192546586</v>
      </c>
      <c r="I122" s="156">
        <f>SUM(I110:I121)</f>
        <v>50700</v>
      </c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2:31" ht="13.5" thickTop="1"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</row>
    <row r="124" spans="2:31" ht="16.5" thickBot="1">
      <c r="B124" s="154" t="s">
        <v>141</v>
      </c>
      <c r="C124" s="154"/>
      <c r="D124" s="156">
        <f>D107-D122</f>
        <v>3360.0999999999985</v>
      </c>
      <c r="E124" s="156">
        <f>E107-E122</f>
        <v>35717.760000000002</v>
      </c>
      <c r="F124" s="156">
        <f>F107-F122</f>
        <v>-2350</v>
      </c>
      <c r="G124" s="156">
        <f>G107-G122</f>
        <v>5710.1</v>
      </c>
      <c r="H124" s="153">
        <f>IF(F124=0,"---",G124/F124)</f>
        <v>-2.4298297872340426</v>
      </c>
      <c r="I124" s="156">
        <f>I107-I122</f>
        <v>3300</v>
      </c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</row>
    <row r="125" spans="2:31" ht="13.5" thickTop="1">
      <c r="D125" s="77"/>
      <c r="E125" s="77"/>
      <c r="F125" s="77"/>
      <c r="G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</row>
    <row r="126" spans="2:31">
      <c r="B126" s="34" t="s">
        <v>172</v>
      </c>
      <c r="D126" s="77"/>
      <c r="E126" s="77"/>
      <c r="F126" s="77"/>
      <c r="G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</row>
    <row r="127" spans="2:31">
      <c r="B127" t="s">
        <v>173</v>
      </c>
      <c r="D127" s="155">
        <f>SUM(D104:D105)*0.2</f>
        <v>6220.3760000000002</v>
      </c>
      <c r="E127" s="155">
        <v>10663.672</v>
      </c>
      <c r="F127" s="155">
        <v>8010</v>
      </c>
      <c r="G127" s="155">
        <f>D127-F127</f>
        <v>-1789.6239999999998</v>
      </c>
      <c r="H127" s="151">
        <f>IF(F127=0,"---",G127/F127)</f>
        <v>-0.22342372034956301</v>
      </c>
      <c r="I127" s="155">
        <f>SUM(I104:I105)*0.2</f>
        <v>6400</v>
      </c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</row>
    <row r="128" spans="2:31">
      <c r="B128" t="s">
        <v>174</v>
      </c>
      <c r="D128" s="155">
        <f>D124-D127</f>
        <v>-2860.2760000000017</v>
      </c>
      <c r="E128" s="155">
        <v>25054.088000000003</v>
      </c>
      <c r="F128" s="155">
        <v>-10360</v>
      </c>
      <c r="G128" s="155">
        <f>D128-F128</f>
        <v>7499.7239999999983</v>
      </c>
      <c r="H128" s="151">
        <f>IF(F128=0,"---",G128/F128)</f>
        <v>-0.72391158301158287</v>
      </c>
      <c r="I128" s="155">
        <f>I124-I127</f>
        <v>-3100</v>
      </c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</row>
    <row r="129" spans="2:31" ht="16.5" thickBot="1">
      <c r="B129" s="154" t="s">
        <v>175</v>
      </c>
      <c r="C129" s="154"/>
      <c r="D129" s="156">
        <f>SUM(D127:D128)</f>
        <v>3360.0999999999985</v>
      </c>
      <c r="E129" s="156">
        <f>SUM(E127:E128)</f>
        <v>35717.760000000002</v>
      </c>
      <c r="F129" s="156">
        <f>SUM(F127:F128)</f>
        <v>-2350</v>
      </c>
      <c r="G129" s="156">
        <f>D129-F129</f>
        <v>5710.0999999999985</v>
      </c>
      <c r="H129" s="153">
        <f>IF(F129=0,"---",G129/F129)</f>
        <v>-2.4298297872340417</v>
      </c>
      <c r="I129" s="156">
        <f>SUM(I127:I128)</f>
        <v>3300</v>
      </c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</row>
    <row r="130" spans="2:31" ht="13.5" thickTop="1"/>
    <row r="131" spans="2:31">
      <c r="F131" s="113"/>
    </row>
    <row r="132" spans="2:31">
      <c r="D132" s="79" t="str">
        <f>IF(AND(D94-D129&lt;1,D94-D129&gt;-1),"OK","FEIL !!")</f>
        <v>OK</v>
      </c>
      <c r="F132" s="113"/>
    </row>
    <row r="133" spans="2:31">
      <c r="F133" s="77"/>
    </row>
    <row r="134" spans="2:31">
      <c r="B134" s="34" t="s">
        <v>505</v>
      </c>
      <c r="D134" s="77"/>
      <c r="F134" s="77"/>
    </row>
    <row r="135" spans="2:31">
      <c r="D135" s="77"/>
      <c r="F135" s="77"/>
    </row>
    <row r="136" spans="2:31">
      <c r="B136" s="177" t="s">
        <v>378</v>
      </c>
      <c r="C136" s="82"/>
      <c r="D136" s="201"/>
      <c r="E136" s="65"/>
    </row>
    <row r="137" spans="2:31">
      <c r="B137" s="34" t="s">
        <v>186</v>
      </c>
      <c r="C137" s="82"/>
      <c r="D137" s="201"/>
      <c r="E137" s="65"/>
    </row>
    <row r="138" spans="2:31">
      <c r="B138" s="79" t="s">
        <v>491</v>
      </c>
      <c r="C138" s="82"/>
      <c r="D138" s="64">
        <v>1628</v>
      </c>
      <c r="E138" s="64"/>
      <c r="F138" s="77"/>
    </row>
    <row r="139" spans="2:31">
      <c r="B139" s="79" t="s">
        <v>492</v>
      </c>
      <c r="C139" s="82"/>
      <c r="D139" s="64">
        <v>-6831</v>
      </c>
      <c r="E139" s="64"/>
      <c r="F139" s="77"/>
    </row>
    <row r="140" spans="2:31" ht="13.5" thickBot="1">
      <c r="B140" s="199" t="s">
        <v>197</v>
      </c>
      <c r="C140" s="200"/>
      <c r="D140" s="175">
        <f>SUM(D138:D139)</f>
        <v>-5203</v>
      </c>
      <c r="F140" s="77"/>
    </row>
    <row r="141" spans="2:31" ht="13.5" thickTop="1">
      <c r="B141" s="34"/>
      <c r="C141" s="34"/>
      <c r="D141" s="77"/>
      <c r="F141" s="77"/>
    </row>
    <row r="142" spans="2:31">
      <c r="B142" s="177" t="s">
        <v>379</v>
      </c>
      <c r="D142" s="77"/>
      <c r="F142" s="77"/>
    </row>
    <row r="143" spans="2:31">
      <c r="B143" s="34" t="s">
        <v>163</v>
      </c>
      <c r="D143" s="77"/>
      <c r="F143" s="77"/>
    </row>
    <row r="144" spans="2:31">
      <c r="B144" s="79" t="s">
        <v>489</v>
      </c>
      <c r="D144" s="77">
        <v>850</v>
      </c>
      <c r="F144" s="77"/>
    </row>
    <row r="145" spans="2:31">
      <c r="B145" s="79" t="s">
        <v>490</v>
      </c>
      <c r="D145" s="77">
        <v>4000</v>
      </c>
      <c r="F145" s="77"/>
    </row>
    <row r="146" spans="2:31" ht="13.5" thickBot="1">
      <c r="B146" s="199" t="s">
        <v>197</v>
      </c>
      <c r="C146" s="200"/>
      <c r="D146" s="175">
        <f>SUM(D144:D145)</f>
        <v>4850</v>
      </c>
      <c r="F146" s="77"/>
    </row>
    <row r="147" spans="2:31" ht="13.5" thickTop="1">
      <c r="D147" s="77"/>
      <c r="F147" s="77"/>
    </row>
    <row r="148" spans="2:31">
      <c r="B148" s="177" t="s">
        <v>380</v>
      </c>
      <c r="D148" s="77"/>
    </row>
    <row r="149" spans="2:31">
      <c r="B149" s="34" t="s">
        <v>166</v>
      </c>
      <c r="D149" s="77" t="s">
        <v>415</v>
      </c>
    </row>
    <row r="150" spans="2:31">
      <c r="B150" t="s">
        <v>474</v>
      </c>
      <c r="D150" s="77">
        <v>128</v>
      </c>
    </row>
    <row r="151" spans="2:31">
      <c r="B151" t="s">
        <v>475</v>
      </c>
      <c r="D151" s="77">
        <v>2170</v>
      </c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</row>
    <row r="152" spans="2:31">
      <c r="B152" t="s">
        <v>146</v>
      </c>
      <c r="D152" s="77">
        <v>4932.8</v>
      </c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</row>
    <row r="153" spans="2:31">
      <c r="B153" t="s">
        <v>464</v>
      </c>
      <c r="D153" s="77">
        <v>1530</v>
      </c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</row>
    <row r="154" spans="2:31">
      <c r="B154" s="79" t="s">
        <v>493</v>
      </c>
      <c r="D154" s="77">
        <v>209</v>
      </c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</row>
    <row r="155" spans="2:31" ht="13.5" thickBot="1">
      <c r="B155" s="199" t="s">
        <v>197</v>
      </c>
      <c r="C155" s="200"/>
      <c r="D155" s="175">
        <f>SUM(D150:D154)</f>
        <v>8969.7999999999993</v>
      </c>
      <c r="F155" s="34"/>
      <c r="G155" s="82"/>
      <c r="H155" s="82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</row>
    <row r="156" spans="2:31" ht="13.5" thickTop="1">
      <c r="D156" s="77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</row>
    <row r="157" spans="2:31">
      <c r="B157" s="177" t="s">
        <v>428</v>
      </c>
      <c r="D157" s="77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</row>
    <row r="158" spans="2:31">
      <c r="B158" s="34" t="s">
        <v>422</v>
      </c>
      <c r="D158" s="77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2:31">
      <c r="B159" s="79" t="s">
        <v>494</v>
      </c>
      <c r="D159" s="77">
        <v>3426</v>
      </c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2:31">
      <c r="B160" s="79" t="s">
        <v>495</v>
      </c>
      <c r="D160" s="77">
        <v>4581</v>
      </c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2:31">
      <c r="B161" s="79" t="s">
        <v>496</v>
      </c>
      <c r="D161" s="77">
        <v>1086</v>
      </c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2:31" ht="13.5" thickBot="1">
      <c r="B162" s="199" t="s">
        <v>197</v>
      </c>
      <c r="C162" s="200"/>
      <c r="D162" s="175">
        <f>SUM(D159:D161)</f>
        <v>9093</v>
      </c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2:31" ht="13.5" thickTop="1">
      <c r="D163" s="77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2:31">
      <c r="B164" s="177" t="s">
        <v>430</v>
      </c>
      <c r="D164" s="77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2:31">
      <c r="B165" s="34" t="s">
        <v>498</v>
      </c>
      <c r="D165" s="77">
        <v>10000</v>
      </c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</row>
    <row r="166" spans="2:31">
      <c r="B166" s="79" t="s">
        <v>497</v>
      </c>
      <c r="D166" s="77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</row>
    <row r="167" spans="2:31">
      <c r="B167" s="79" t="s">
        <v>499</v>
      </c>
      <c r="D167" s="77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</row>
    <row r="168" spans="2:31" ht="13.5" thickBot="1">
      <c r="B168" s="199" t="s">
        <v>197</v>
      </c>
      <c r="C168" s="200"/>
      <c r="D168" s="175">
        <f>SUM(D163:D165)</f>
        <v>10000</v>
      </c>
    </row>
    <row r="169" spans="2:31" ht="13.5" thickTop="1">
      <c r="D169" s="77"/>
    </row>
    <row r="170" spans="2:31">
      <c r="B170" s="177" t="s">
        <v>486</v>
      </c>
      <c r="D170" s="77"/>
    </row>
    <row r="171" spans="2:31">
      <c r="B171" s="34" t="s">
        <v>381</v>
      </c>
      <c r="D171" s="77"/>
    </row>
    <row r="172" spans="2:31">
      <c r="B172" t="s">
        <v>478</v>
      </c>
      <c r="D172" s="77">
        <v>3185</v>
      </c>
    </row>
    <row r="173" spans="2:31">
      <c r="B173" t="s">
        <v>456</v>
      </c>
      <c r="D173" s="77">
        <v>13750</v>
      </c>
    </row>
    <row r="174" spans="2:31">
      <c r="B174" s="79" t="s">
        <v>500</v>
      </c>
      <c r="D174" s="77">
        <v>-12000</v>
      </c>
    </row>
    <row r="175" spans="2:31" ht="13.5" thickBot="1">
      <c r="B175" s="199" t="s">
        <v>197</v>
      </c>
      <c r="C175" s="200"/>
      <c r="D175" s="175">
        <f>SUM(D172:D174)</f>
        <v>4935</v>
      </c>
    </row>
    <row r="176" spans="2:31" ht="13.5" thickTop="1">
      <c r="D176" s="77"/>
    </row>
    <row r="177" spans="2:4">
      <c r="B177" s="177" t="s">
        <v>501</v>
      </c>
      <c r="D177" s="77"/>
    </row>
    <row r="178" spans="2:4">
      <c r="B178" s="34" t="s">
        <v>58</v>
      </c>
      <c r="D178" s="77"/>
    </row>
    <row r="179" spans="2:4">
      <c r="B179" s="79" t="s">
        <v>480</v>
      </c>
      <c r="C179" s="34"/>
      <c r="D179" s="77">
        <f>-BG6</f>
        <v>-521.71999999999935</v>
      </c>
    </row>
    <row r="180" spans="2:4">
      <c r="B180" s="79" t="s">
        <v>483</v>
      </c>
      <c r="D180" s="77">
        <f>BF46</f>
        <v>14265.9</v>
      </c>
    </row>
    <row r="181" spans="2:4">
      <c r="B181" s="79" t="s">
        <v>481</v>
      </c>
      <c r="C181" s="34"/>
      <c r="D181" s="77">
        <f>D140</f>
        <v>-5203</v>
      </c>
    </row>
    <row r="182" spans="2:4" ht="13.5" thickBot="1">
      <c r="B182" s="34" t="s">
        <v>482</v>
      </c>
      <c r="C182" s="82"/>
      <c r="D182" s="175">
        <f>SUM(D179:D181)</f>
        <v>8541.18</v>
      </c>
    </row>
    <row r="183" spans="2:4" ht="13.5" thickTop="1">
      <c r="B183" s="79" t="s">
        <v>503</v>
      </c>
      <c r="D183" s="77"/>
    </row>
    <row r="184" spans="2:4">
      <c r="D184" s="77"/>
    </row>
    <row r="185" spans="2:4">
      <c r="B185" s="177" t="s">
        <v>502</v>
      </c>
      <c r="D185" s="77"/>
    </row>
    <row r="186" spans="2:4">
      <c r="B186" s="38" t="s">
        <v>484</v>
      </c>
      <c r="D186" s="77"/>
    </row>
    <row r="187" spans="2:4">
      <c r="B187" s="79" t="s">
        <v>507</v>
      </c>
      <c r="D187" s="77">
        <v>90</v>
      </c>
    </row>
    <row r="188" spans="2:4" ht="13.5" thickBot="1">
      <c r="B188" s="199" t="s">
        <v>197</v>
      </c>
      <c r="C188" s="200"/>
      <c r="D188" s="175">
        <f>SUM(D185:D187)</f>
        <v>90</v>
      </c>
    </row>
    <row r="189" spans="2:4" ht="13.5" thickTop="1">
      <c r="D189" s="77"/>
    </row>
    <row r="190" spans="2:4">
      <c r="B190" s="177" t="s">
        <v>506</v>
      </c>
      <c r="D190" s="77"/>
    </row>
    <row r="191" spans="2:4">
      <c r="B191" s="34" t="s">
        <v>69</v>
      </c>
      <c r="D191" s="77"/>
    </row>
    <row r="192" spans="2:4">
      <c r="B192" s="79" t="s">
        <v>504</v>
      </c>
      <c r="D192" s="77">
        <v>1086</v>
      </c>
    </row>
    <row r="193" spans="2:4" ht="13.5" thickBot="1">
      <c r="B193" s="199" t="s">
        <v>197</v>
      </c>
      <c r="C193" s="200"/>
      <c r="D193" s="175">
        <f>SUM(D190:D192)</f>
        <v>1086</v>
      </c>
    </row>
    <row r="194" spans="2:4" ht="13.5" thickTop="1">
      <c r="D194" s="77"/>
    </row>
  </sheetData>
  <mergeCells count="44">
    <mergeCell ref="D3:E3"/>
    <mergeCell ref="F3:G3"/>
    <mergeCell ref="H3:I3"/>
    <mergeCell ref="J3:K3"/>
    <mergeCell ref="L3:M3"/>
    <mergeCell ref="N3:O3"/>
    <mergeCell ref="BF3:BG3"/>
    <mergeCell ref="BH3:BI3"/>
    <mergeCell ref="P3:Q3"/>
    <mergeCell ref="R3:S3"/>
    <mergeCell ref="T3:U3"/>
    <mergeCell ref="V3:W3"/>
    <mergeCell ref="X3:Y3"/>
    <mergeCell ref="AD3:AE3"/>
    <mergeCell ref="AB3:AC3"/>
    <mergeCell ref="Z3:AA3"/>
    <mergeCell ref="BJ3:BK3"/>
    <mergeCell ref="BL3:BM3"/>
    <mergeCell ref="D4:E4"/>
    <mergeCell ref="F4:G4"/>
    <mergeCell ref="H4:I4"/>
    <mergeCell ref="J4:K4"/>
    <mergeCell ref="L4:M4"/>
    <mergeCell ref="N4:O4"/>
    <mergeCell ref="P4:Q4"/>
    <mergeCell ref="R4:S4"/>
    <mergeCell ref="BH4:BI4"/>
    <mergeCell ref="BJ4:BK4"/>
    <mergeCell ref="T4:U4"/>
    <mergeCell ref="V4:W4"/>
    <mergeCell ref="X4:Y4"/>
    <mergeCell ref="AD4:AE4"/>
    <mergeCell ref="AF4:AG4"/>
    <mergeCell ref="AJ4:AK4"/>
    <mergeCell ref="AB4:AC4"/>
    <mergeCell ref="Z4:AA4"/>
    <mergeCell ref="AR3:AS3"/>
    <mergeCell ref="AR4:AS4"/>
    <mergeCell ref="AL4:AM4"/>
    <mergeCell ref="AN4:AO4"/>
    <mergeCell ref="AF3:AG3"/>
    <mergeCell ref="AJ3:AK3"/>
    <mergeCell ref="AL3:AM3"/>
    <mergeCell ref="AN3:AO3"/>
  </mergeCells>
  <pageMargins left="0.7" right="0.7" top="0.75" bottom="0.75" header="0.3" footer="0.3"/>
  <legacy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EJ153"/>
  <sheetViews>
    <sheetView topLeftCell="A82" zoomScale="85" zoomScaleNormal="85" zoomScalePageLayoutView="85" workbookViewId="0">
      <selection activeCell="E85" sqref="E85"/>
    </sheetView>
  </sheetViews>
  <sheetFormatPr baseColWidth="10" defaultColWidth="11.42578125" defaultRowHeight="12.75"/>
  <cols>
    <col min="1" max="1" width="10.140625" bestFit="1" customWidth="1"/>
    <col min="2" max="2" width="27.7109375" customWidth="1"/>
    <col min="3" max="3" width="6.85546875" customWidth="1"/>
    <col min="4" max="5" width="9.140625" customWidth="1"/>
    <col min="6" max="6" width="15.85546875" customWidth="1"/>
    <col min="7" max="7" width="14.140625" customWidth="1"/>
    <col min="8" max="8" width="11" customWidth="1"/>
    <col min="9" max="9" width="16.28515625" customWidth="1"/>
    <col min="10" max="28" width="8.42578125" customWidth="1"/>
    <col min="29" max="29" width="8.7109375" customWidth="1"/>
    <col min="30" max="30" width="10" customWidth="1"/>
    <col min="31" max="31" width="8.7109375" customWidth="1"/>
    <col min="32" max="32" width="6.42578125" customWidth="1"/>
    <col min="33" max="37" width="9.28515625" customWidth="1"/>
    <col min="38" max="38" width="7.7109375" customWidth="1"/>
    <col min="39" max="39" width="7.85546875" customWidth="1"/>
    <col min="40" max="40" width="10.42578125" customWidth="1"/>
    <col min="41" max="41" width="6.85546875" customWidth="1"/>
    <col min="42" max="42" width="8.42578125" customWidth="1"/>
    <col min="43" max="43" width="5" customWidth="1"/>
    <col min="44" max="44" width="7.7109375" customWidth="1"/>
    <col min="45" max="45" width="5.28515625" customWidth="1"/>
    <col min="46" max="46" width="7.85546875" customWidth="1"/>
    <col min="47" max="47" width="10.42578125" customWidth="1"/>
    <col min="48" max="48" width="5" customWidth="1"/>
    <col min="49" max="49" width="9.42578125" customWidth="1"/>
    <col min="50" max="50" width="5.42578125" customWidth="1"/>
    <col min="51" max="59" width="9.42578125" customWidth="1"/>
    <col min="60" max="60" width="8.7109375" customWidth="1"/>
    <col min="61" max="61" width="9.140625" customWidth="1"/>
    <col min="62" max="62" width="11.42578125" customWidth="1"/>
    <col min="63" max="63" width="9.42578125" customWidth="1"/>
    <col min="64" max="64" width="12" customWidth="1"/>
    <col min="65" max="65" width="12.85546875" bestFit="1" customWidth="1"/>
  </cols>
  <sheetData>
    <row r="1" spans="1:140" ht="20.25">
      <c r="A1" s="121" t="s">
        <v>382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3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</row>
    <row r="2" spans="1:140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3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</row>
    <row r="3" spans="1:140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3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</row>
    <row r="4" spans="1:140">
      <c r="A4" s="161" t="s">
        <v>20</v>
      </c>
      <c r="B4" s="161" t="s">
        <v>0</v>
      </c>
      <c r="C4" s="161" t="s">
        <v>1</v>
      </c>
      <c r="D4" s="592" t="s">
        <v>330</v>
      </c>
      <c r="E4" s="593"/>
      <c r="F4" s="592" t="s">
        <v>3</v>
      </c>
      <c r="G4" s="593"/>
      <c r="H4" s="586" t="s">
        <v>328</v>
      </c>
      <c r="I4" s="580"/>
      <c r="J4" s="586" t="s">
        <v>333</v>
      </c>
      <c r="K4" s="580"/>
      <c r="L4" s="586" t="s">
        <v>162</v>
      </c>
      <c r="M4" s="580"/>
      <c r="N4" s="586" t="s">
        <v>163</v>
      </c>
      <c r="O4" s="580"/>
      <c r="P4" s="586" t="s">
        <v>94</v>
      </c>
      <c r="Q4" s="580"/>
      <c r="R4" s="586" t="s">
        <v>95</v>
      </c>
      <c r="S4" s="580"/>
      <c r="T4" s="586" t="s">
        <v>336</v>
      </c>
      <c r="U4" s="580"/>
      <c r="V4" s="594">
        <v>39585</v>
      </c>
      <c r="W4" s="580"/>
      <c r="X4" s="586" t="s">
        <v>338</v>
      </c>
      <c r="Y4" s="580"/>
      <c r="Z4" s="586" t="s">
        <v>386</v>
      </c>
      <c r="AA4" s="580"/>
      <c r="AB4" s="590" t="s">
        <v>6</v>
      </c>
      <c r="AC4" s="591"/>
      <c r="AD4" s="124" t="s">
        <v>7</v>
      </c>
      <c r="AE4" s="126"/>
      <c r="AF4" s="590" t="s">
        <v>331</v>
      </c>
      <c r="AG4" s="591"/>
      <c r="AH4" s="590" t="s">
        <v>332</v>
      </c>
      <c r="AI4" s="591"/>
      <c r="AJ4" s="590" t="s">
        <v>355</v>
      </c>
      <c r="AK4" s="591"/>
      <c r="AL4" s="124" t="s">
        <v>9</v>
      </c>
      <c r="AM4" s="124"/>
      <c r="AN4" s="124" t="s">
        <v>10</v>
      </c>
      <c r="AO4" s="124"/>
      <c r="AP4" s="124" t="s">
        <v>11</v>
      </c>
      <c r="AQ4" s="124"/>
      <c r="AR4" s="124" t="s">
        <v>12</v>
      </c>
      <c r="AS4" s="124"/>
      <c r="AT4" s="124" t="s">
        <v>13</v>
      </c>
      <c r="AU4" s="124"/>
      <c r="AV4" s="124" t="s">
        <v>14</v>
      </c>
      <c r="AW4" s="124"/>
      <c r="AX4" s="124" t="s">
        <v>15</v>
      </c>
      <c r="AY4" s="124"/>
      <c r="AZ4" s="588" t="s">
        <v>281</v>
      </c>
      <c r="BA4" s="589"/>
      <c r="BB4" s="588" t="s">
        <v>282</v>
      </c>
      <c r="BC4" s="589"/>
      <c r="BD4" s="588" t="s">
        <v>282</v>
      </c>
      <c r="BE4" s="589"/>
      <c r="BF4" s="588" t="s">
        <v>423</v>
      </c>
      <c r="BG4" s="589"/>
      <c r="BH4" s="127" t="s">
        <v>30</v>
      </c>
      <c r="BI4" s="124"/>
      <c r="BJ4" s="124" t="s">
        <v>32</v>
      </c>
      <c r="BK4" s="124"/>
    </row>
    <row r="5" spans="1:140">
      <c r="A5" s="161"/>
      <c r="B5" s="161"/>
      <c r="C5" s="161" t="s">
        <v>16</v>
      </c>
      <c r="D5" s="592"/>
      <c r="E5" s="593"/>
      <c r="F5" s="592" t="s">
        <v>249</v>
      </c>
      <c r="G5" s="593"/>
      <c r="H5" s="586" t="s">
        <v>329</v>
      </c>
      <c r="I5" s="587"/>
      <c r="J5" s="586" t="s">
        <v>334</v>
      </c>
      <c r="K5" s="580"/>
      <c r="L5" s="586"/>
      <c r="M5" s="587"/>
      <c r="N5" s="586"/>
      <c r="O5" s="587"/>
      <c r="P5" s="586" t="s">
        <v>335</v>
      </c>
      <c r="Q5" s="587"/>
      <c r="R5" s="586"/>
      <c r="S5" s="587"/>
      <c r="T5" s="586" t="s">
        <v>337</v>
      </c>
      <c r="U5" s="587"/>
      <c r="V5" s="586"/>
      <c r="W5" s="587"/>
      <c r="X5" s="586"/>
      <c r="Y5" s="587"/>
      <c r="Z5" s="586" t="s">
        <v>387</v>
      </c>
      <c r="AA5" s="580"/>
      <c r="AB5" s="590"/>
      <c r="AC5" s="591"/>
      <c r="AD5" s="124" t="s">
        <v>21</v>
      </c>
      <c r="AE5" s="126"/>
      <c r="AF5" s="590" t="s">
        <v>326</v>
      </c>
      <c r="AG5" s="591"/>
      <c r="AH5" s="590" t="s">
        <v>327</v>
      </c>
      <c r="AI5" s="591"/>
      <c r="AJ5" s="590"/>
      <c r="AK5" s="591"/>
      <c r="AL5" s="124" t="s">
        <v>22</v>
      </c>
      <c r="AM5" s="124"/>
      <c r="AN5" s="124" t="s">
        <v>23</v>
      </c>
      <c r="AO5" s="124"/>
      <c r="AP5" s="124" t="s">
        <v>24</v>
      </c>
      <c r="AQ5" s="124"/>
      <c r="AR5" s="124" t="s">
        <v>25</v>
      </c>
      <c r="AS5" s="124"/>
      <c r="AT5" s="124" t="s">
        <v>26</v>
      </c>
      <c r="AU5" s="124"/>
      <c r="AV5" s="124" t="s">
        <v>27</v>
      </c>
      <c r="AW5" s="124"/>
      <c r="AX5" s="124"/>
      <c r="AY5" s="124"/>
      <c r="AZ5" s="124"/>
      <c r="BA5" s="124"/>
      <c r="BB5" s="588" t="s">
        <v>284</v>
      </c>
      <c r="BC5" s="589"/>
      <c r="BD5" s="588" t="s">
        <v>283</v>
      </c>
      <c r="BE5" s="589"/>
      <c r="BF5" s="144" t="s">
        <v>424</v>
      </c>
      <c r="BG5" s="144"/>
      <c r="BH5" s="124"/>
      <c r="BI5" s="124"/>
      <c r="BJ5" s="124"/>
      <c r="BK5" s="124"/>
    </row>
    <row r="6" spans="1:140">
      <c r="A6" s="3"/>
      <c r="B6" s="3"/>
      <c r="C6" s="3"/>
      <c r="D6" s="3" t="s">
        <v>28</v>
      </c>
      <c r="E6" s="3" t="s">
        <v>29</v>
      </c>
      <c r="F6" s="3" t="s">
        <v>28</v>
      </c>
      <c r="G6" s="3" t="s">
        <v>29</v>
      </c>
      <c r="H6" s="3" t="s">
        <v>28</v>
      </c>
      <c r="I6" s="3" t="s">
        <v>29</v>
      </c>
      <c r="J6" s="3" t="s">
        <v>28</v>
      </c>
      <c r="K6" s="3" t="s">
        <v>29</v>
      </c>
      <c r="L6" s="3" t="s">
        <v>28</v>
      </c>
      <c r="M6" s="3" t="s">
        <v>29</v>
      </c>
      <c r="N6" s="3" t="s">
        <v>28</v>
      </c>
      <c r="O6" s="3" t="s">
        <v>29</v>
      </c>
      <c r="P6" s="3" t="s">
        <v>28</v>
      </c>
      <c r="Q6" s="3" t="s">
        <v>29</v>
      </c>
      <c r="R6" s="3" t="s">
        <v>28</v>
      </c>
      <c r="S6" s="3" t="s">
        <v>29</v>
      </c>
      <c r="T6" s="3" t="s">
        <v>28</v>
      </c>
      <c r="U6" s="3" t="s">
        <v>29</v>
      </c>
      <c r="V6" s="3" t="s">
        <v>28</v>
      </c>
      <c r="W6" s="3" t="s">
        <v>29</v>
      </c>
      <c r="X6" s="3" t="s">
        <v>28</v>
      </c>
      <c r="Y6" s="3" t="s">
        <v>29</v>
      </c>
      <c r="Z6" s="3" t="s">
        <v>28</v>
      </c>
      <c r="AA6" s="3" t="s">
        <v>29</v>
      </c>
      <c r="AB6" s="3" t="s">
        <v>28</v>
      </c>
      <c r="AC6" s="3" t="s">
        <v>29</v>
      </c>
      <c r="AD6" s="3" t="s">
        <v>28</v>
      </c>
      <c r="AE6" s="128" t="s">
        <v>29</v>
      </c>
      <c r="AF6" s="3" t="s">
        <v>28</v>
      </c>
      <c r="AG6" s="3" t="s">
        <v>29</v>
      </c>
      <c r="AH6" s="3" t="s">
        <v>28</v>
      </c>
      <c r="AI6" s="3" t="s">
        <v>29</v>
      </c>
      <c r="AJ6" s="3" t="s">
        <v>28</v>
      </c>
      <c r="AK6" s="3" t="s">
        <v>29</v>
      </c>
      <c r="AL6" s="3" t="s">
        <v>28</v>
      </c>
      <c r="AM6" s="3" t="s">
        <v>29</v>
      </c>
      <c r="AN6" s="3" t="s">
        <v>28</v>
      </c>
      <c r="AO6" s="3" t="s">
        <v>29</v>
      </c>
      <c r="AP6" s="3" t="s">
        <v>28</v>
      </c>
      <c r="AQ6" s="3" t="s">
        <v>29</v>
      </c>
      <c r="AR6" s="3" t="s">
        <v>28</v>
      </c>
      <c r="AS6" s="3" t="s">
        <v>29</v>
      </c>
      <c r="AT6" s="3" t="s">
        <v>28</v>
      </c>
      <c r="AU6" s="3" t="s">
        <v>29</v>
      </c>
      <c r="AV6" s="3" t="s">
        <v>28</v>
      </c>
      <c r="AW6" s="3" t="s">
        <v>29</v>
      </c>
      <c r="AX6" s="3" t="s">
        <v>28</v>
      </c>
      <c r="AY6" s="3" t="s">
        <v>29</v>
      </c>
      <c r="AZ6" s="3" t="s">
        <v>28</v>
      </c>
      <c r="BA6" s="3" t="s">
        <v>29</v>
      </c>
      <c r="BB6" s="3" t="s">
        <v>28</v>
      </c>
      <c r="BC6" s="3" t="s">
        <v>29</v>
      </c>
      <c r="BD6" s="3" t="s">
        <v>28</v>
      </c>
      <c r="BE6" s="3" t="s">
        <v>29</v>
      </c>
      <c r="BF6" s="3" t="s">
        <v>28</v>
      </c>
      <c r="BG6" s="3" t="s">
        <v>29</v>
      </c>
      <c r="BH6" s="3" t="s">
        <v>28</v>
      </c>
      <c r="BI6" s="3" t="s">
        <v>29</v>
      </c>
      <c r="BJ6" s="3" t="s">
        <v>28</v>
      </c>
      <c r="BK6" s="3" t="s">
        <v>29</v>
      </c>
    </row>
    <row r="7" spans="1:140">
      <c r="A7" s="122"/>
      <c r="B7" s="129" t="s">
        <v>383</v>
      </c>
      <c r="C7" s="3"/>
      <c r="D7" s="130">
        <v>100</v>
      </c>
      <c r="E7" s="131"/>
      <c r="F7" s="130">
        <v>47106.180000000008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0">
        <v>867962.94</v>
      </c>
      <c r="AE7" s="132"/>
      <c r="AF7" s="131"/>
      <c r="AG7" s="131"/>
      <c r="AH7" s="131"/>
      <c r="AI7" s="131"/>
      <c r="AJ7" s="131"/>
      <c r="AK7" s="131"/>
      <c r="AL7" s="130">
        <v>0</v>
      </c>
      <c r="AM7" s="131"/>
      <c r="AN7" s="130">
        <v>950000</v>
      </c>
      <c r="AO7" s="131"/>
      <c r="AP7" s="130">
        <v>112480</v>
      </c>
      <c r="AQ7" s="131"/>
      <c r="AR7" s="130">
        <v>5000</v>
      </c>
      <c r="AS7" s="131"/>
      <c r="AT7" s="131"/>
      <c r="AU7" s="130">
        <v>1067480</v>
      </c>
      <c r="AV7" s="131"/>
      <c r="AW7" s="130">
        <v>688140.99600000004</v>
      </c>
      <c r="AX7" s="131"/>
      <c r="AY7" s="130">
        <v>233300.10399999999</v>
      </c>
      <c r="AZ7" s="130">
        <v>5044.18</v>
      </c>
      <c r="BA7" s="131"/>
      <c r="BB7" s="130">
        <v>0</v>
      </c>
      <c r="BC7" s="131"/>
      <c r="BD7" s="130">
        <v>4727.8</v>
      </c>
      <c r="BE7" s="131"/>
      <c r="BF7" s="130">
        <v>0</v>
      </c>
      <c r="BG7" s="131"/>
      <c r="BH7" s="131"/>
      <c r="BI7" s="130">
        <v>3500</v>
      </c>
      <c r="BJ7" s="130">
        <v>0</v>
      </c>
      <c r="BK7" s="133"/>
      <c r="BL7" s="113">
        <f>D7-E7+F7-G7+H7-I7+J7-K7+L7-M7+N7-O7+P7-Q7+R7-S7+T7-U7+V7-W7+X7-Y7+Z7-AA7+AB7-AC7+AD7-AE7+AF7-AG7+AH7-AI7+AJ7-AK7+AL7-AM7+AN7-AO7+AP7-AQ7+AR7-AS7+AT7-AU7+AV7-AW7+AX7-AY7+AZ7-BA7+BB7-BC7+BD7-BE7+BF7-BG7+BH7-BI7+BJ7-BK7</f>
        <v>7.73070496506989E-11</v>
      </c>
      <c r="BM7" s="41"/>
      <c r="BN7" s="41"/>
    </row>
    <row r="8" spans="1:140">
      <c r="A8" s="162"/>
      <c r="B8" s="129"/>
      <c r="C8" s="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U8" s="133"/>
      <c r="AV8" s="133"/>
      <c r="AW8" s="133"/>
      <c r="AX8" s="133"/>
      <c r="AY8" s="133"/>
      <c r="AZ8" s="133"/>
      <c r="BA8" s="133"/>
      <c r="BC8" s="133"/>
      <c r="BD8" s="133"/>
      <c r="BE8" s="133"/>
      <c r="BF8" s="133"/>
      <c r="BG8" s="133"/>
      <c r="BH8" s="133"/>
      <c r="BI8" s="133"/>
      <c r="BJ8" s="133"/>
      <c r="BK8" s="133"/>
      <c r="BL8" s="113"/>
      <c r="BM8" s="41"/>
      <c r="BN8" s="41"/>
    </row>
    <row r="9" spans="1:140">
      <c r="A9" s="162">
        <v>39461</v>
      </c>
      <c r="B9" s="129" t="s">
        <v>146</v>
      </c>
      <c r="C9" s="3">
        <v>1</v>
      </c>
      <c r="D9" s="133"/>
      <c r="E9" s="133"/>
      <c r="F9" s="133"/>
      <c r="G9" s="133">
        <v>3500</v>
      </c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>
        <v>3500</v>
      </c>
      <c r="BI9" s="133"/>
      <c r="BJ9" s="133"/>
      <c r="BK9" s="133"/>
      <c r="BL9" s="113">
        <f t="shared" ref="BL9:BL44" si="0">D9-E9+F9-G9+H9-I9+J9-K9+L9-M9+N9-O9+P9-Q9+R9-S9+T9-U9+V9-W9+X9-Y9+Z9-AA9+AB9-AC9+AD9-AE9+AF9-AG9+AH9-AI9+AJ9-AK9+AL9-AM9+AN9-AO9+AP9-AQ9+AR9-AS9+AT9-AU9+AV9-AW9+AX9-AY9+AZ9-BA9+BB9-BC9+BD9-BE9+BF9-BG9+BH9-BI9+BJ9-BK9</f>
        <v>0</v>
      </c>
      <c r="BM9" s="41"/>
      <c r="BN9" s="41"/>
    </row>
    <row r="10" spans="1:140">
      <c r="A10" s="170">
        <v>39478</v>
      </c>
      <c r="B10" s="165" t="s">
        <v>388</v>
      </c>
      <c r="C10" s="165">
        <v>2</v>
      </c>
      <c r="D10" s="166"/>
      <c r="E10" s="166"/>
      <c r="F10" s="166"/>
      <c r="G10" s="166">
        <v>2</v>
      </c>
      <c r="H10" s="166"/>
      <c r="I10" s="166"/>
      <c r="J10" s="166"/>
      <c r="K10" s="166"/>
      <c r="L10" s="166"/>
      <c r="M10" s="166"/>
      <c r="N10" s="166"/>
      <c r="O10" s="166"/>
      <c r="P10" s="166"/>
      <c r="R10" s="166"/>
      <c r="S10" s="166"/>
      <c r="T10" s="166">
        <v>2</v>
      </c>
      <c r="U10" s="166"/>
      <c r="V10" s="166"/>
      <c r="W10" s="166"/>
      <c r="X10" s="166"/>
      <c r="Y10" s="166"/>
      <c r="Z10" s="166"/>
      <c r="AA10" s="166"/>
      <c r="AB10" s="168"/>
      <c r="AC10" s="169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13">
        <f t="shared" si="0"/>
        <v>0</v>
      </c>
      <c r="BM10" s="41"/>
      <c r="BN10" s="41"/>
    </row>
    <row r="11" spans="1:140">
      <c r="A11" s="163">
        <v>39510</v>
      </c>
      <c r="B11" s="129" t="s">
        <v>389</v>
      </c>
      <c r="C11" s="3">
        <v>3</v>
      </c>
      <c r="D11" s="133"/>
      <c r="E11" s="133"/>
      <c r="F11" s="133"/>
      <c r="G11" s="133">
        <v>2812.5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>
        <v>2812.5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71"/>
      <c r="BH11" s="133"/>
      <c r="BI11" s="133"/>
      <c r="BJ11" s="133"/>
      <c r="BK11" s="133"/>
      <c r="BL11" s="113">
        <f t="shared" si="0"/>
        <v>0</v>
      </c>
      <c r="BM11" s="41"/>
      <c r="BN11" s="41"/>
    </row>
    <row r="12" spans="1:140">
      <c r="A12" s="163">
        <v>39538</v>
      </c>
      <c r="B12" s="129" t="s">
        <v>390</v>
      </c>
      <c r="C12" s="3">
        <v>4</v>
      </c>
      <c r="D12" s="133"/>
      <c r="E12" s="133"/>
      <c r="F12" s="133"/>
      <c r="G12" s="133">
        <v>2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>
        <v>2</v>
      </c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13">
        <f t="shared" si="0"/>
        <v>0</v>
      </c>
      <c r="BM12" s="41"/>
      <c r="BN12" s="41"/>
    </row>
    <row r="13" spans="1:140" s="122" customFormat="1">
      <c r="A13" s="163">
        <v>39539</v>
      </c>
      <c r="B13" s="164" t="s">
        <v>391</v>
      </c>
      <c r="C13" s="164">
        <v>5</v>
      </c>
      <c r="G13" s="133">
        <v>1066</v>
      </c>
      <c r="R13" s="133">
        <v>1066</v>
      </c>
      <c r="BC13" s="173"/>
      <c r="BL13" s="113">
        <f t="shared" si="0"/>
        <v>0</v>
      </c>
      <c r="BM13" s="41"/>
      <c r="BN13" s="41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</row>
    <row r="14" spans="1:140">
      <c r="A14" s="163">
        <v>39547</v>
      </c>
      <c r="B14" s="129" t="s">
        <v>392</v>
      </c>
      <c r="C14" s="3">
        <v>6</v>
      </c>
      <c r="D14" s="133"/>
      <c r="E14" s="133"/>
      <c r="F14" s="133"/>
      <c r="G14" s="133">
        <v>235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>
        <v>235</v>
      </c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13">
        <f t="shared" si="0"/>
        <v>0</v>
      </c>
      <c r="BM14" s="41"/>
      <c r="BN14" s="41"/>
    </row>
    <row r="15" spans="1:140">
      <c r="A15" s="163">
        <v>39636</v>
      </c>
      <c r="B15" s="129" t="s">
        <v>393</v>
      </c>
      <c r="C15" s="3">
        <v>7</v>
      </c>
      <c r="D15" s="133"/>
      <c r="E15" s="133"/>
      <c r="F15" s="133"/>
      <c r="G15" s="133">
        <v>1160</v>
      </c>
      <c r="H15" s="133"/>
      <c r="I15" s="133"/>
      <c r="J15" s="133"/>
      <c r="K15" s="133"/>
      <c r="L15" s="133"/>
      <c r="M15" s="133"/>
      <c r="N15" s="133"/>
      <c r="O15" s="133"/>
      <c r="P15" s="133">
        <v>1160</v>
      </c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13">
        <f t="shared" si="0"/>
        <v>0</v>
      </c>
      <c r="BM15" s="41"/>
      <c r="BN15" s="41"/>
    </row>
    <row r="16" spans="1:140" s="122" customFormat="1">
      <c r="A16" s="163">
        <v>39636</v>
      </c>
      <c r="B16" s="164" t="s">
        <v>394</v>
      </c>
      <c r="C16" s="164">
        <v>8</v>
      </c>
      <c r="G16" s="133">
        <v>2500</v>
      </c>
      <c r="P16" s="173"/>
      <c r="V16" s="133">
        <v>2500</v>
      </c>
      <c r="BL16" s="113">
        <f t="shared" si="0"/>
        <v>0</v>
      </c>
      <c r="BM16" s="41"/>
      <c r="BN16" s="41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</row>
    <row r="17" spans="1:66">
      <c r="A17" s="170">
        <v>39673</v>
      </c>
      <c r="B17" s="165" t="s">
        <v>395</v>
      </c>
      <c r="C17" s="165">
        <v>9</v>
      </c>
      <c r="D17" s="166"/>
      <c r="E17" s="166"/>
      <c r="F17" s="166"/>
      <c r="G17" s="166">
        <v>561.6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>
        <v>561.6</v>
      </c>
      <c r="AA17" s="166"/>
      <c r="AB17" s="168"/>
      <c r="AC17" s="169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13">
        <f t="shared" si="0"/>
        <v>0</v>
      </c>
      <c r="BM17" s="41"/>
      <c r="BN17" s="41"/>
    </row>
    <row r="18" spans="1:66">
      <c r="A18" s="170">
        <v>39673</v>
      </c>
      <c r="B18" s="165" t="s">
        <v>396</v>
      </c>
      <c r="C18" s="165">
        <v>10</v>
      </c>
      <c r="D18" s="166"/>
      <c r="E18" s="166"/>
      <c r="F18" s="166"/>
      <c r="G18" s="166">
        <v>918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>
        <v>918</v>
      </c>
      <c r="U18" s="166"/>
      <c r="V18" s="166"/>
      <c r="W18" s="166"/>
      <c r="X18" s="166"/>
      <c r="Y18" s="166"/>
      <c r="Z18" s="166"/>
      <c r="AA18" s="166"/>
      <c r="AB18" s="168"/>
      <c r="AC18" s="169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13">
        <f t="shared" si="0"/>
        <v>0</v>
      </c>
      <c r="BM18" s="137"/>
    </row>
    <row r="19" spans="1:66">
      <c r="A19" s="170">
        <v>39733</v>
      </c>
      <c r="B19" s="165" t="s">
        <v>391</v>
      </c>
      <c r="C19" s="165">
        <v>11</v>
      </c>
      <c r="D19" s="166"/>
      <c r="E19" s="166"/>
      <c r="F19" s="166"/>
      <c r="G19" s="166">
        <v>1066</v>
      </c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>
        <v>1066</v>
      </c>
      <c r="S19" s="166"/>
      <c r="T19" s="166"/>
      <c r="U19" s="166"/>
      <c r="V19" s="166"/>
      <c r="W19" s="166"/>
      <c r="X19" s="166"/>
      <c r="Y19" s="166"/>
      <c r="Z19" s="166"/>
      <c r="AA19" s="166"/>
      <c r="AB19" s="168"/>
      <c r="AC19" s="169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13">
        <f t="shared" si="0"/>
        <v>0</v>
      </c>
    </row>
    <row r="20" spans="1:66">
      <c r="A20" s="170">
        <v>39733</v>
      </c>
      <c r="B20" s="165" t="s">
        <v>397</v>
      </c>
      <c r="C20" s="165">
        <v>12</v>
      </c>
      <c r="D20" s="166"/>
      <c r="E20" s="166"/>
      <c r="F20" s="166"/>
      <c r="G20" s="166">
        <v>634.1</v>
      </c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8"/>
      <c r="AC20" s="169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>
        <v>634.1</v>
      </c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13">
        <f t="shared" si="0"/>
        <v>0</v>
      </c>
    </row>
    <row r="21" spans="1:66">
      <c r="A21" s="170">
        <v>39733</v>
      </c>
      <c r="B21" s="165" t="s">
        <v>398</v>
      </c>
      <c r="C21" s="165">
        <v>13</v>
      </c>
      <c r="D21" s="166"/>
      <c r="E21" s="166"/>
      <c r="F21" s="166"/>
      <c r="G21" s="166">
        <v>3481.5</v>
      </c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>
        <v>3481.5</v>
      </c>
      <c r="U21" s="166"/>
      <c r="V21" s="166"/>
      <c r="W21" s="166"/>
      <c r="X21" s="166"/>
      <c r="Y21" s="166"/>
      <c r="Z21" s="166"/>
      <c r="AA21" s="166"/>
      <c r="AB21" s="168"/>
      <c r="AC21" s="169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13">
        <f t="shared" si="0"/>
        <v>0</v>
      </c>
    </row>
    <row r="22" spans="1:66">
      <c r="A22" s="170">
        <v>39748</v>
      </c>
      <c r="B22" s="165" t="s">
        <v>399</v>
      </c>
      <c r="C22" s="165">
        <v>14</v>
      </c>
      <c r="D22" s="166"/>
      <c r="E22" s="166"/>
      <c r="F22" s="166"/>
      <c r="G22" s="166">
        <v>1100</v>
      </c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8"/>
      <c r="AC22" s="169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>
        <v>1100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13">
        <f t="shared" si="0"/>
        <v>0</v>
      </c>
    </row>
    <row r="23" spans="1:66">
      <c r="A23" s="170">
        <v>39812</v>
      </c>
      <c r="B23" s="165" t="s">
        <v>400</v>
      </c>
      <c r="C23" s="165">
        <v>15</v>
      </c>
      <c r="D23" s="166"/>
      <c r="E23" s="166"/>
      <c r="F23" s="166"/>
      <c r="G23" s="166">
        <v>6094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>
        <v>6094</v>
      </c>
      <c r="U23" s="166"/>
      <c r="V23" s="166"/>
      <c r="W23" s="166"/>
      <c r="X23" s="166"/>
      <c r="Y23" s="166"/>
      <c r="Z23" s="166"/>
      <c r="AA23" s="166"/>
      <c r="AB23" s="168"/>
      <c r="AC23" s="169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13">
        <f t="shared" si="0"/>
        <v>0</v>
      </c>
    </row>
    <row r="24" spans="1:66">
      <c r="A24" s="170">
        <v>39812</v>
      </c>
      <c r="B24" s="165" t="s">
        <v>390</v>
      </c>
      <c r="C24" s="165">
        <v>16</v>
      </c>
      <c r="D24" s="166"/>
      <c r="E24" s="166"/>
      <c r="F24" s="166"/>
      <c r="G24" s="166">
        <v>4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>
        <v>4</v>
      </c>
      <c r="U24" s="166"/>
      <c r="V24" s="166"/>
      <c r="W24" s="166"/>
      <c r="X24" s="166"/>
      <c r="Y24" s="166"/>
      <c r="Z24" s="166"/>
      <c r="AA24" s="166"/>
      <c r="AB24" s="168"/>
      <c r="AC24" s="169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13">
        <f t="shared" si="0"/>
        <v>0</v>
      </c>
      <c r="BM24" s="41"/>
      <c r="BN24" s="41"/>
    </row>
    <row r="25" spans="1:66">
      <c r="A25" s="170">
        <v>39812</v>
      </c>
      <c r="B25" s="129" t="s">
        <v>401</v>
      </c>
      <c r="C25" s="129">
        <v>17</v>
      </c>
      <c r="D25" s="135"/>
      <c r="E25" s="135"/>
      <c r="F25" s="135">
        <v>11000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1"/>
      <c r="AC25" s="132">
        <v>11000</v>
      </c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13">
        <f t="shared" si="0"/>
        <v>0</v>
      </c>
    </row>
    <row r="26" spans="1:66">
      <c r="A26" s="178">
        <v>39812</v>
      </c>
      <c r="B26" s="129" t="s">
        <v>402</v>
      </c>
      <c r="C26" s="129">
        <v>18</v>
      </c>
      <c r="D26" s="135"/>
      <c r="E26" s="135"/>
      <c r="F26" s="135"/>
      <c r="G26" s="135">
        <v>90</v>
      </c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>
        <v>90</v>
      </c>
      <c r="U26" s="135"/>
      <c r="V26" s="135"/>
      <c r="W26" s="135"/>
      <c r="X26" s="135"/>
      <c r="Y26" s="135"/>
      <c r="Z26" s="135"/>
      <c r="AA26" s="135"/>
      <c r="AB26" s="131"/>
      <c r="AC26" s="132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13">
        <f t="shared" si="0"/>
        <v>0</v>
      </c>
    </row>
    <row r="27" spans="1:66">
      <c r="A27" s="178">
        <v>39812</v>
      </c>
      <c r="B27" s="129" t="s">
        <v>403</v>
      </c>
      <c r="C27" s="129">
        <v>18</v>
      </c>
      <c r="D27" s="135"/>
      <c r="E27" s="135"/>
      <c r="F27" s="135">
        <v>8400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1"/>
      <c r="AC27" s="131">
        <v>8400</v>
      </c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13">
        <f t="shared" si="0"/>
        <v>0</v>
      </c>
    </row>
    <row r="28" spans="1:66">
      <c r="A28" s="178">
        <v>39812</v>
      </c>
      <c r="B28" s="129" t="s">
        <v>404</v>
      </c>
      <c r="C28" s="129">
        <v>19</v>
      </c>
      <c r="D28" s="135"/>
      <c r="E28" s="135"/>
      <c r="F28" s="135"/>
      <c r="G28" s="135">
        <v>4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>
        <v>4</v>
      </c>
      <c r="U28" s="135"/>
      <c r="V28" s="135"/>
      <c r="W28" s="135"/>
      <c r="X28" s="135"/>
      <c r="Y28" s="135"/>
      <c r="Z28" s="135"/>
      <c r="AA28" s="135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13">
        <f t="shared" si="0"/>
        <v>0</v>
      </c>
    </row>
    <row r="29" spans="1:66">
      <c r="A29" s="178">
        <v>39812</v>
      </c>
      <c r="B29" s="129" t="s">
        <v>405</v>
      </c>
      <c r="C29" s="129">
        <v>19</v>
      </c>
      <c r="D29" s="135"/>
      <c r="E29" s="135"/>
      <c r="F29" s="135">
        <v>1000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1"/>
      <c r="AC29" s="131">
        <v>1000</v>
      </c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13">
        <f t="shared" si="0"/>
        <v>0</v>
      </c>
    </row>
    <row r="30" spans="1:66">
      <c r="A30" s="178">
        <v>39812</v>
      </c>
      <c r="B30" s="129" t="s">
        <v>402</v>
      </c>
      <c r="C30" s="129">
        <v>20</v>
      </c>
      <c r="D30" s="135"/>
      <c r="E30" s="135"/>
      <c r="F30" s="135"/>
      <c r="G30" s="135">
        <v>90</v>
      </c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>
        <v>90</v>
      </c>
      <c r="U30" s="135"/>
      <c r="V30" s="135"/>
      <c r="W30" s="135"/>
      <c r="X30" s="135"/>
      <c r="Y30" s="135"/>
      <c r="Z30" s="135"/>
      <c r="AA30" s="135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13">
        <f t="shared" si="0"/>
        <v>0</v>
      </c>
    </row>
    <row r="31" spans="1:66">
      <c r="A31" s="170">
        <v>39812</v>
      </c>
      <c r="B31" s="165" t="s">
        <v>390</v>
      </c>
      <c r="C31" s="165">
        <v>20</v>
      </c>
      <c r="D31" s="166"/>
      <c r="E31" s="166"/>
      <c r="F31" s="166"/>
      <c r="G31" s="166">
        <v>4</v>
      </c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>
        <v>4</v>
      </c>
      <c r="U31" s="166"/>
      <c r="V31" s="166"/>
      <c r="W31" s="166"/>
      <c r="X31" s="166"/>
      <c r="Y31" s="166"/>
      <c r="Z31" s="166"/>
      <c r="AA31" s="166"/>
      <c r="AB31" s="168"/>
      <c r="AC31" s="169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13">
        <f t="shared" si="0"/>
        <v>0</v>
      </c>
    </row>
    <row r="32" spans="1:66">
      <c r="A32" s="178">
        <v>39812</v>
      </c>
      <c r="B32" s="129" t="s">
        <v>406</v>
      </c>
      <c r="C32" s="129">
        <v>20</v>
      </c>
      <c r="D32" s="135"/>
      <c r="E32" s="135"/>
      <c r="F32" s="135">
        <v>400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1"/>
      <c r="AC32" s="131">
        <v>400</v>
      </c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13">
        <f t="shared" si="0"/>
        <v>0</v>
      </c>
    </row>
    <row r="33" spans="1:66">
      <c r="A33" s="178">
        <v>39812</v>
      </c>
      <c r="B33" s="129" t="s">
        <v>407</v>
      </c>
      <c r="C33" s="129">
        <v>21</v>
      </c>
      <c r="D33" s="135"/>
      <c r="E33" s="135"/>
      <c r="F33" s="135">
        <v>400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1"/>
      <c r="AC33" s="131">
        <v>400</v>
      </c>
      <c r="AD33" s="131"/>
      <c r="AE33" s="135"/>
      <c r="AF33" s="135"/>
      <c r="AG33" s="135"/>
      <c r="AH33" s="135"/>
      <c r="AI33" s="135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13">
        <f t="shared" si="0"/>
        <v>0</v>
      </c>
    </row>
    <row r="34" spans="1:66">
      <c r="A34" s="178">
        <v>39812</v>
      </c>
      <c r="B34" s="129" t="s">
        <v>408</v>
      </c>
      <c r="C34" s="129">
        <v>22</v>
      </c>
      <c r="D34" s="135"/>
      <c r="E34" s="135"/>
      <c r="F34" s="135">
        <v>600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1"/>
      <c r="AC34" s="131">
        <v>600</v>
      </c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13">
        <f t="shared" si="0"/>
        <v>0</v>
      </c>
      <c r="BM34" s="41"/>
      <c r="BN34" s="41"/>
    </row>
    <row r="35" spans="1:66">
      <c r="A35" s="178">
        <v>39812</v>
      </c>
      <c r="B35" s="129" t="s">
        <v>390</v>
      </c>
      <c r="C35" s="129">
        <v>22</v>
      </c>
      <c r="D35" s="135"/>
      <c r="E35" s="135"/>
      <c r="F35" s="135"/>
      <c r="G35" s="135">
        <v>8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>
        <v>8</v>
      </c>
      <c r="U35" s="135"/>
      <c r="V35" s="135"/>
      <c r="W35" s="135"/>
      <c r="X35" s="135"/>
      <c r="Y35" s="135"/>
      <c r="Z35" s="135"/>
      <c r="AA35" s="135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13">
        <f t="shared" si="0"/>
        <v>0</v>
      </c>
    </row>
    <row r="36" spans="1:66">
      <c r="A36" s="178">
        <v>39813</v>
      </c>
      <c r="B36" s="129" t="s">
        <v>390</v>
      </c>
      <c r="C36" s="129">
        <v>23</v>
      </c>
      <c r="D36" s="135"/>
      <c r="E36" s="135"/>
      <c r="F36" s="135"/>
      <c r="G36" s="135">
        <v>2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>
        <v>2</v>
      </c>
      <c r="U36" s="135"/>
      <c r="V36" s="135"/>
      <c r="W36" s="135"/>
      <c r="X36" s="135"/>
      <c r="Y36" s="135"/>
      <c r="Z36" s="135"/>
      <c r="AA36" s="135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13">
        <f t="shared" si="0"/>
        <v>0</v>
      </c>
    </row>
    <row r="37" spans="1:66">
      <c r="A37" s="178">
        <v>39813</v>
      </c>
      <c r="B37" s="129" t="s">
        <v>46</v>
      </c>
      <c r="C37" s="129">
        <v>23</v>
      </c>
      <c r="D37" s="135"/>
      <c r="E37" s="135"/>
      <c r="F37" s="135">
        <v>63.36</v>
      </c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1"/>
      <c r="AC37" s="131"/>
      <c r="AD37" s="131"/>
      <c r="AE37" s="131"/>
      <c r="AF37" s="131"/>
      <c r="AG37" s="131"/>
      <c r="AH37" s="131"/>
      <c r="AI37" s="131">
        <v>63.36</v>
      </c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13">
        <f t="shared" si="0"/>
        <v>0</v>
      </c>
    </row>
    <row r="38" spans="1:66">
      <c r="A38" s="134">
        <v>39813</v>
      </c>
      <c r="B38" s="129" t="s">
        <v>46</v>
      </c>
      <c r="C38" s="129">
        <v>24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1">
        <v>53255</v>
      </c>
      <c r="AE38" s="131"/>
      <c r="AF38" s="131"/>
      <c r="AG38" s="131">
        <v>53255</v>
      </c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13">
        <f t="shared" si="0"/>
        <v>0</v>
      </c>
    </row>
    <row r="39" spans="1:66">
      <c r="A39" s="134">
        <v>39813</v>
      </c>
      <c r="B39" s="129" t="s">
        <v>412</v>
      </c>
      <c r="C39" s="129">
        <v>25</v>
      </c>
      <c r="D39" s="135"/>
      <c r="E39" s="135"/>
      <c r="F39" s="135"/>
      <c r="G39" s="135"/>
      <c r="H39" s="135"/>
      <c r="I39" s="135"/>
      <c r="J39" s="135"/>
      <c r="K39" s="135"/>
      <c r="L39" s="135">
        <v>7300</v>
      </c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6"/>
      <c r="AU39" s="136"/>
      <c r="AV39" s="136"/>
      <c r="AW39" s="136"/>
      <c r="AX39" s="136"/>
      <c r="AY39" s="136"/>
      <c r="AZ39" s="136"/>
      <c r="BA39" s="136">
        <v>7300</v>
      </c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13">
        <f t="shared" si="0"/>
        <v>0</v>
      </c>
    </row>
    <row r="40" spans="1:66">
      <c r="A40" s="134">
        <v>39813</v>
      </c>
      <c r="B40" s="129" t="s">
        <v>425</v>
      </c>
      <c r="C40" s="129">
        <v>26</v>
      </c>
      <c r="D40" s="135"/>
      <c r="E40" s="135"/>
      <c r="F40" s="135"/>
      <c r="G40" s="135"/>
      <c r="H40" s="135"/>
      <c r="I40" s="123"/>
      <c r="J40" s="122"/>
      <c r="K40" s="31"/>
      <c r="L40" s="122"/>
      <c r="M40" s="31"/>
      <c r="N40" s="122"/>
      <c r="O40" s="31"/>
      <c r="P40" s="122"/>
      <c r="Q40" s="31"/>
      <c r="R40" s="122"/>
      <c r="S40" s="31"/>
      <c r="T40" s="122"/>
      <c r="U40" s="31"/>
      <c r="V40" s="122"/>
      <c r="W40" s="31"/>
      <c r="X40" s="122"/>
      <c r="Y40" s="31"/>
      <c r="Z40" s="135">
        <v>12000</v>
      </c>
      <c r="AA40" s="31"/>
      <c r="AB40" s="135"/>
      <c r="AC40" s="135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>
        <v>12000</v>
      </c>
      <c r="BH40" s="136"/>
      <c r="BI40" s="136"/>
      <c r="BJ40" s="136"/>
      <c r="BK40" s="136"/>
      <c r="BL40" s="113">
        <f t="shared" si="0"/>
        <v>0</v>
      </c>
    </row>
    <row r="41" spans="1:66">
      <c r="A41" s="134"/>
      <c r="B41" s="165"/>
      <c r="C41" s="129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6"/>
      <c r="AU41" s="136"/>
      <c r="AV41" s="136"/>
      <c r="AW41" s="136"/>
      <c r="AX41" s="136"/>
      <c r="AY41" s="136"/>
      <c r="BA41" s="135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13">
        <f t="shared" si="0"/>
        <v>0</v>
      </c>
    </row>
    <row r="42" spans="1:66">
      <c r="A42" s="134" t="s">
        <v>359</v>
      </c>
      <c r="B42" s="129" t="s">
        <v>359</v>
      </c>
      <c r="C42" s="129" t="s">
        <v>359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13">
        <f t="shared" si="0"/>
        <v>0</v>
      </c>
    </row>
    <row r="43" spans="1:66">
      <c r="A43" s="140"/>
      <c r="B43" s="45" t="s">
        <v>41</v>
      </c>
      <c r="C43" s="45"/>
      <c r="D43" s="141">
        <f>SUM(D7:D42)</f>
        <v>100</v>
      </c>
      <c r="E43" s="141"/>
      <c r="F43" s="141">
        <f>SUM(F7:F42)</f>
        <v>68969.540000000008</v>
      </c>
      <c r="G43" s="141"/>
      <c r="H43" s="141">
        <f>SUM(H7:H42)</f>
        <v>0</v>
      </c>
      <c r="I43" s="141"/>
      <c r="J43" s="141">
        <f>SUM(J7:J42)</f>
        <v>0</v>
      </c>
      <c r="K43" s="141"/>
      <c r="L43" s="141">
        <f>SUM(L7:L42)</f>
        <v>7300</v>
      </c>
      <c r="M43" s="141"/>
      <c r="N43" s="141">
        <f>SUM(N7:N42)</f>
        <v>0</v>
      </c>
      <c r="O43" s="141"/>
      <c r="P43" s="141">
        <f>SUM(P7:P42)</f>
        <v>1160</v>
      </c>
      <c r="Q43" s="141"/>
      <c r="R43" s="141">
        <f>SUM(R7:R42)</f>
        <v>2132</v>
      </c>
      <c r="S43" s="141"/>
      <c r="T43" s="141">
        <f>SUM(T7:T42)</f>
        <v>13512</v>
      </c>
      <c r="U43" s="141"/>
      <c r="V43" s="141">
        <f>SUM(V7:V42)</f>
        <v>2500</v>
      </c>
      <c r="W43" s="141"/>
      <c r="X43" s="141">
        <f>SUM(X7:X42)</f>
        <v>235</v>
      </c>
      <c r="Y43" s="141"/>
      <c r="Z43" s="141">
        <f>SUM(Z7:Z42)</f>
        <v>12561.6</v>
      </c>
      <c r="AA43" s="141"/>
      <c r="AB43" s="141">
        <f>SUM(AB7:AB42)</f>
        <v>0</v>
      </c>
      <c r="AC43" s="141"/>
      <c r="AD43" s="141">
        <f>SUM(AD7:AD42)</f>
        <v>921217.94</v>
      </c>
      <c r="AE43" s="141"/>
      <c r="AF43" s="141">
        <f>SUM(AF7:AF42)</f>
        <v>0</v>
      </c>
      <c r="AG43" s="141"/>
      <c r="AH43" s="141">
        <f>SUM(AH7:AH42)</f>
        <v>0</v>
      </c>
      <c r="AI43" s="141"/>
      <c r="AJ43" s="141">
        <f>SUM(AJ7:AJ42)</f>
        <v>0</v>
      </c>
      <c r="AK43" s="141"/>
      <c r="AL43" s="141">
        <f>SUM(AL7:AL42)</f>
        <v>0</v>
      </c>
      <c r="AM43" s="141"/>
      <c r="AN43" s="141">
        <f>SUM(AN7:AN42)</f>
        <v>950000</v>
      </c>
      <c r="AO43" s="141"/>
      <c r="AP43" s="141">
        <f>SUM(AP7:AP42)</f>
        <v>112480</v>
      </c>
      <c r="AQ43" s="141"/>
      <c r="AR43" s="141">
        <f>SUM(AR7:AR42)</f>
        <v>5000</v>
      </c>
      <c r="AS43" s="141"/>
      <c r="AT43" s="141">
        <f>SUM(AT7:AT42)</f>
        <v>0</v>
      </c>
      <c r="AU43" s="141"/>
      <c r="AV43" s="141">
        <f>SUM(AV7:AV42)</f>
        <v>0</v>
      </c>
      <c r="AW43" s="141"/>
      <c r="AX43" s="141">
        <f>SUM(AX7:AX42)</f>
        <v>0</v>
      </c>
      <c r="AY43" s="141"/>
      <c r="AZ43" s="141">
        <f>SUM(AZ7:AZ42)</f>
        <v>6778.2800000000007</v>
      </c>
      <c r="BA43" s="141"/>
      <c r="BB43" s="141">
        <f>SUM(BB7:BB42)</f>
        <v>0</v>
      </c>
      <c r="BC43" s="141"/>
      <c r="BD43" s="141">
        <f>SUM(BD7:BD42)</f>
        <v>4727.8</v>
      </c>
      <c r="BE43" s="141"/>
      <c r="BF43" s="141">
        <f>SUM(BF7:BF42)</f>
        <v>0</v>
      </c>
      <c r="BG43" s="141"/>
      <c r="BH43" s="141">
        <f>SUM(BH7:BH42)</f>
        <v>3500</v>
      </c>
      <c r="BI43" s="141"/>
      <c r="BJ43" s="141">
        <f>SUM(BJ7:BJ42)</f>
        <v>0</v>
      </c>
      <c r="BK43" s="141"/>
      <c r="BL43" s="113">
        <f t="shared" si="0"/>
        <v>2112174.1599999997</v>
      </c>
      <c r="BM43" t="s">
        <v>28</v>
      </c>
    </row>
    <row r="44" spans="1:66">
      <c r="A44" s="140"/>
      <c r="B44" s="20" t="s">
        <v>42</v>
      </c>
      <c r="C44" s="20"/>
      <c r="D44" s="142"/>
      <c r="E44" s="142">
        <f>SUM(E7:E42)</f>
        <v>0</v>
      </c>
      <c r="F44" s="142"/>
      <c r="G44" s="142">
        <f>SUM(G7:G42)</f>
        <v>25334.7</v>
      </c>
      <c r="H44" s="142"/>
      <c r="I44" s="142">
        <f>SUM(I7:I42)</f>
        <v>0</v>
      </c>
      <c r="J44" s="142"/>
      <c r="K44" s="142">
        <f>SUM(K7:K42)</f>
        <v>0</v>
      </c>
      <c r="L44" s="142"/>
      <c r="M44" s="142">
        <f>SUM(M7:M42)</f>
        <v>0</v>
      </c>
      <c r="N44" s="142"/>
      <c r="O44" s="142">
        <f>SUM(O7:O42)</f>
        <v>0</v>
      </c>
      <c r="P44" s="142"/>
      <c r="Q44" s="142">
        <f>SUM(Q7:Q42)</f>
        <v>0</v>
      </c>
      <c r="R44" s="142"/>
      <c r="S44" s="142">
        <f>SUM(S7:S42)</f>
        <v>0</v>
      </c>
      <c r="T44" s="142"/>
      <c r="U44" s="142">
        <f>SUM(U7:U42)</f>
        <v>0</v>
      </c>
      <c r="V44" s="142"/>
      <c r="W44" s="142">
        <f>SUM(W7:W42)</f>
        <v>0</v>
      </c>
      <c r="X44" s="142"/>
      <c r="Y44" s="142">
        <f>SUM(Y7:Y42)</f>
        <v>0</v>
      </c>
      <c r="Z44" s="142"/>
      <c r="AA44" s="142">
        <f>SUM(AA7:AA42)</f>
        <v>0</v>
      </c>
      <c r="AB44" s="142"/>
      <c r="AC44" s="142">
        <f>SUM(AC7:AC42)</f>
        <v>21800</v>
      </c>
      <c r="AD44" s="142"/>
      <c r="AE44" s="142">
        <f>SUM(AE7:AE42)</f>
        <v>0</v>
      </c>
      <c r="AF44" s="142"/>
      <c r="AG44" s="142">
        <f>SUM(AG7:AG42)</f>
        <v>53255</v>
      </c>
      <c r="AH44" s="142"/>
      <c r="AI44" s="142">
        <f>SUM(AI7:AI42)</f>
        <v>63.36</v>
      </c>
      <c r="AJ44" s="142"/>
      <c r="AK44" s="142">
        <f>SUM(AK7:AK42)</f>
        <v>0</v>
      </c>
      <c r="AL44" s="142"/>
      <c r="AM44" s="142">
        <f>SUM(AM7:AM42)</f>
        <v>0</v>
      </c>
      <c r="AN44" s="142"/>
      <c r="AO44" s="142">
        <f>SUM(AO7:AO42)</f>
        <v>0</v>
      </c>
      <c r="AP44" s="142"/>
      <c r="AQ44" s="142">
        <f>SUM(AQ7:AQ42)</f>
        <v>0</v>
      </c>
      <c r="AR44" s="142"/>
      <c r="AS44" s="142">
        <f>SUM(AS7:AS42)</f>
        <v>0</v>
      </c>
      <c r="AT44" s="142"/>
      <c r="AU44" s="142">
        <f>SUM(AU7:AU42)</f>
        <v>1067480</v>
      </c>
      <c r="AV44" s="142"/>
      <c r="AW44" s="142">
        <f>SUM(AW7:AW42)</f>
        <v>688140.99600000004</v>
      </c>
      <c r="AX44" s="142"/>
      <c r="AY44" s="142">
        <f>SUM(AY7:AY42)</f>
        <v>233300.10399999999</v>
      </c>
      <c r="AZ44" s="142"/>
      <c r="BA44" s="142">
        <f>SUM(BA7:BA42)</f>
        <v>7300</v>
      </c>
      <c r="BB44" s="142"/>
      <c r="BC44" s="142">
        <f>SUM(BC7:BC42)</f>
        <v>0</v>
      </c>
      <c r="BD44" s="142"/>
      <c r="BE44" s="142">
        <f>SUM(BE7:BE42)</f>
        <v>0</v>
      </c>
      <c r="BF44" s="142"/>
      <c r="BG44" s="142">
        <f>SUM(BG7:BG42)</f>
        <v>12000</v>
      </c>
      <c r="BH44" s="142"/>
      <c r="BI44" s="142">
        <f>SUM(BI7:BI42)</f>
        <v>3500</v>
      </c>
      <c r="BJ44" s="142"/>
      <c r="BK44" s="142">
        <f>SUM(BK7:BK42)</f>
        <v>0</v>
      </c>
      <c r="BL44" s="113">
        <f t="shared" si="0"/>
        <v>-2112174.16</v>
      </c>
      <c r="BM44" s="79" t="s">
        <v>29</v>
      </c>
    </row>
    <row r="45" spans="1:66">
      <c r="A45" s="140"/>
      <c r="B45" s="157" t="s">
        <v>197</v>
      </c>
      <c r="C45" s="20"/>
      <c r="D45" s="143">
        <f>IF(D43&gt;=E44,D43-E44,"")</f>
        <v>100</v>
      </c>
      <c r="E45" s="143" t="str">
        <f>IF(D43&lt;E44,E44-D43,"")</f>
        <v/>
      </c>
      <c r="F45" s="143">
        <f>IF(F43&gt;=G44,F43-G44,"")</f>
        <v>43634.840000000011</v>
      </c>
      <c r="G45" s="143" t="str">
        <f>IF(F43&lt;G44,G44-F43,"")</f>
        <v/>
      </c>
      <c r="H45" s="143">
        <f>IF(H43&gt;=I44,H43-I44,"")</f>
        <v>0</v>
      </c>
      <c r="I45" s="143" t="str">
        <f>IF(H43&lt;I44,I44-H43,"")</f>
        <v/>
      </c>
      <c r="J45" s="143">
        <f>IF(J43&gt;=K44,J43-K44,"")</f>
        <v>0</v>
      </c>
      <c r="K45" s="143" t="str">
        <f>IF(J43&lt;K44,K44-J43,"")</f>
        <v/>
      </c>
      <c r="L45" s="143">
        <f>IF(L43&gt;=M44,L43-M44,"")</f>
        <v>7300</v>
      </c>
      <c r="M45" s="143" t="str">
        <f>IF(L43&lt;M44,M44-L43,"")</f>
        <v/>
      </c>
      <c r="N45" s="143">
        <f>IF(N43&gt;=O44,N43-O44,"")</f>
        <v>0</v>
      </c>
      <c r="O45" s="143" t="str">
        <f>IF(N43&lt;O44,O44-N43,"")</f>
        <v/>
      </c>
      <c r="P45" s="143">
        <f>IF(P43&gt;=Q44,P43-Q44,"")</f>
        <v>1160</v>
      </c>
      <c r="Q45" s="143" t="str">
        <f>IF(P43&lt;Q44,Q44-P43,"")</f>
        <v/>
      </c>
      <c r="R45" s="143">
        <f>IF(R43&gt;=S44,R43-S44,"")</f>
        <v>2132</v>
      </c>
      <c r="S45" s="143" t="str">
        <f>IF(R43&lt;S44,S44-R43,"")</f>
        <v/>
      </c>
      <c r="T45" s="143">
        <f>IF(T43&gt;=U44,T43-U44,"")</f>
        <v>13512</v>
      </c>
      <c r="U45" s="143" t="str">
        <f>IF(T43&lt;U44,U44-T43,"")</f>
        <v/>
      </c>
      <c r="V45" s="143">
        <f>IF(V43&gt;=W44,V43-W44,"")</f>
        <v>2500</v>
      </c>
      <c r="W45" s="143" t="str">
        <f>IF(V43&lt;W44,W44-V43,"")</f>
        <v/>
      </c>
      <c r="X45" s="143">
        <f>IF(X43&gt;=Y44,X43-Y44,"")</f>
        <v>235</v>
      </c>
      <c r="Y45" s="143" t="str">
        <f>IF(X43&lt;Y44,Y44-X43,"")</f>
        <v/>
      </c>
      <c r="Z45" s="143">
        <f>IF(Z43&gt;=AA44,Z43-AA44,"")</f>
        <v>12561.6</v>
      </c>
      <c r="AA45" s="143" t="str">
        <f>IF(Z43&lt;AA44,AA44-Z43,"")</f>
        <v/>
      </c>
      <c r="AB45" s="143" t="str">
        <f>IF(AB43&gt;=AC44,AB43-AC44,"")</f>
        <v/>
      </c>
      <c r="AC45" s="143">
        <f>IF(AB43&lt;AC44,AC44-AB43,"")</f>
        <v>21800</v>
      </c>
      <c r="AD45" s="143">
        <f>IF(AD43&gt;=AE44,AD43-AE44,"")</f>
        <v>921217.94</v>
      </c>
      <c r="AE45" s="143" t="str">
        <f>IF(AD43&lt;AE44,AE44-AD43,"")</f>
        <v/>
      </c>
      <c r="AF45" s="143" t="str">
        <f>IF(AF43&gt;=AG44,AF43-AG44,"")</f>
        <v/>
      </c>
      <c r="AG45" s="143">
        <f>IF(AF43&lt;AG44,AG44-AF43,"")</f>
        <v>53255</v>
      </c>
      <c r="AH45" s="143" t="str">
        <f>IF(AH43&gt;=AI44,AH43-AI44,"")</f>
        <v/>
      </c>
      <c r="AI45" s="143">
        <f>IF(AH43&lt;AI44,AI44-AH43,"")</f>
        <v>63.36</v>
      </c>
      <c r="AJ45" s="143">
        <f>IF(AJ43&gt;=AK44,AJ43-AK44,"")</f>
        <v>0</v>
      </c>
      <c r="AK45" s="143" t="str">
        <f>IF(AJ43&lt;AK44,AK44-AJ43,"")</f>
        <v/>
      </c>
      <c r="AL45" s="143">
        <f>IF(AL43&gt;=AM44,AL43-AM44,"")</f>
        <v>0</v>
      </c>
      <c r="AM45" s="143" t="str">
        <f>IF(AL43&lt;AM44,AM44-AL43,"")</f>
        <v/>
      </c>
      <c r="AN45" s="143">
        <f>IF(AN43&gt;=AO44,AN43-AO44,"")</f>
        <v>950000</v>
      </c>
      <c r="AO45" s="143" t="str">
        <f>IF(AN43&lt;AO44,AO44-AN43,"")</f>
        <v/>
      </c>
      <c r="AP45" s="143">
        <f>IF(AP43&gt;=AQ44,AP43-AQ44,"")</f>
        <v>112480</v>
      </c>
      <c r="AQ45" s="143" t="str">
        <f>IF(AP43&lt;AQ44,AQ44-AP43,"")</f>
        <v/>
      </c>
      <c r="AR45" s="143">
        <f>IF(AR43&gt;=AS44,AR43-AS44,"")</f>
        <v>5000</v>
      </c>
      <c r="AS45" s="143" t="str">
        <f>IF(AR43&lt;AS44,AS44-AR43,"")</f>
        <v/>
      </c>
      <c r="AT45" s="143" t="str">
        <f>IF(AT43&gt;=AU44,AT43-AU44,"")</f>
        <v/>
      </c>
      <c r="AU45" s="143">
        <f>IF(AT43&lt;AU44,AU44-AT43,"")</f>
        <v>1067480</v>
      </c>
      <c r="AV45" s="143" t="str">
        <f>IF(AV43&gt;=AW44,AV43-AW44,"")</f>
        <v/>
      </c>
      <c r="AW45" s="143">
        <f>IF(AV43&lt;AW44,AW44-AV43,"")</f>
        <v>688140.99600000004</v>
      </c>
      <c r="AX45" s="143" t="str">
        <f>IF(AX43&gt;=AY44,AX43-AY44,"")</f>
        <v/>
      </c>
      <c r="AY45" s="143">
        <f>IF(AX43&lt;AY44,AY44-AX43,"")</f>
        <v>233300.10399999999</v>
      </c>
      <c r="AZ45" s="143" t="str">
        <f>IF(AZ43&gt;=BA44,AZ43-BA44,"")</f>
        <v/>
      </c>
      <c r="BA45" s="143">
        <f>IF(AZ43&lt;BA44,BA44-AZ43,"")</f>
        <v>521.71999999999935</v>
      </c>
      <c r="BB45" s="143">
        <f>IF(BB43&gt;=BC44,BB43-BC44,"")</f>
        <v>0</v>
      </c>
      <c r="BC45" s="143" t="str">
        <f>IF(BB43&lt;BC44,BC44-BB43,"")</f>
        <v/>
      </c>
      <c r="BD45" s="143">
        <f>IF(BD43&gt;=BE44,BD43-BE44,"")</f>
        <v>4727.8</v>
      </c>
      <c r="BE45" s="143" t="str">
        <f>IF(BD43&lt;BE44,BE44-BD43,"")</f>
        <v/>
      </c>
      <c r="BF45" s="143" t="str">
        <f>IF(BF43&gt;=BG44,BF43-BG44,"")</f>
        <v/>
      </c>
      <c r="BG45" s="143">
        <f>IF(BF43&lt;BG44,BG44-BF43,"")</f>
        <v>12000</v>
      </c>
      <c r="BH45" s="143">
        <f>IF(BH43&gt;=BI44,BH43-BI44,"")</f>
        <v>0</v>
      </c>
      <c r="BI45" s="143" t="str">
        <f>IF(BH43&lt;BI44,BI44-BH43,"")</f>
        <v/>
      </c>
      <c r="BJ45" s="143">
        <f>IF(BJ43&gt;=BK44,BJ43-BK44,"")</f>
        <v>0</v>
      </c>
      <c r="BK45" s="143" t="str">
        <f>IF(BJ43&lt;BK44,BK44-BJ43,"")</f>
        <v/>
      </c>
      <c r="BL45" s="113"/>
    </row>
    <row r="46" spans="1:66">
      <c r="B46" s="61" t="s">
        <v>172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42"/>
      <c r="AB46" s="142"/>
      <c r="AC46" s="142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U46" s="143"/>
      <c r="AW46" s="143">
        <v>10663.672</v>
      </c>
      <c r="AY46">
        <v>25054.088000000003</v>
      </c>
      <c r="BJ46" s="113"/>
      <c r="BL46" s="113"/>
    </row>
    <row r="47" spans="1:66">
      <c r="B47" s="20" t="s">
        <v>441</v>
      </c>
      <c r="C47" s="31"/>
      <c r="D47" s="143">
        <f>D45+D46</f>
        <v>100</v>
      </c>
      <c r="E47" s="143"/>
      <c r="F47" s="143">
        <f>F45+F46</f>
        <v>43634.840000000011</v>
      </c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>
        <f>AN45+AN46</f>
        <v>950000</v>
      </c>
      <c r="AO47" s="143"/>
      <c r="AP47" s="143">
        <f>AP45+AP46</f>
        <v>112480</v>
      </c>
      <c r="AQ47" s="143"/>
      <c r="AR47" s="143"/>
      <c r="AS47" s="143"/>
      <c r="AT47" s="143"/>
      <c r="AU47" s="143">
        <f>AU45+AU46</f>
        <v>1067480</v>
      </c>
      <c r="AV47" s="143"/>
      <c r="AW47" s="143">
        <f>AW45+AW46</f>
        <v>698804.66800000006</v>
      </c>
      <c r="AX47" s="143"/>
      <c r="AY47" s="143">
        <f>AY45+AY46</f>
        <v>258354.19199999998</v>
      </c>
      <c r="AZ47" s="143"/>
      <c r="BA47" s="143"/>
      <c r="BB47" s="143">
        <f>BB45+BB46</f>
        <v>0</v>
      </c>
      <c r="BC47" s="143"/>
      <c r="BD47" s="143">
        <f>BD45+BD46</f>
        <v>4727.8</v>
      </c>
      <c r="BE47" s="143"/>
      <c r="BF47" s="143"/>
      <c r="BG47" s="143">
        <f>BG45+BG46</f>
        <v>12000</v>
      </c>
      <c r="BH47" s="143">
        <f>BH45+BH46</f>
        <v>0</v>
      </c>
      <c r="BI47" s="143"/>
      <c r="BJ47" s="113"/>
      <c r="BL47" s="113"/>
    </row>
    <row r="48" spans="1:66">
      <c r="B48" s="158"/>
      <c r="G48" s="113"/>
      <c r="H48" s="159"/>
      <c r="BL48" s="113"/>
    </row>
    <row r="49" spans="2:64">
      <c r="E49" s="43"/>
      <c r="F49" s="113"/>
    </row>
    <row r="50" spans="2:64">
      <c r="BL50" s="113"/>
    </row>
    <row r="51" spans="2:64" ht="24.75">
      <c r="B51" s="147" t="s">
        <v>384</v>
      </c>
      <c r="F51" s="113"/>
    </row>
    <row r="53" spans="2:64" ht="19.5">
      <c r="B53" s="148" t="s">
        <v>51</v>
      </c>
      <c r="C53" s="148"/>
      <c r="D53" s="148">
        <v>2008</v>
      </c>
      <c r="E53" s="148">
        <v>2007</v>
      </c>
    </row>
    <row r="54" spans="2:64">
      <c r="B54" s="35"/>
    </row>
    <row r="55" spans="2:64">
      <c r="B55" s="33" t="s">
        <v>52</v>
      </c>
    </row>
    <row r="56" spans="2:64">
      <c r="B56" s="33" t="s">
        <v>53</v>
      </c>
      <c r="H56" s="35"/>
      <c r="AB56" s="34"/>
      <c r="AC56" s="34"/>
    </row>
    <row r="57" spans="2:64">
      <c r="B57" s="36" t="s">
        <v>54</v>
      </c>
      <c r="D57" s="155">
        <f>$D$43-$E$44</f>
        <v>100</v>
      </c>
      <c r="E57" s="155">
        <f>$D$7-$E$7</f>
        <v>100</v>
      </c>
      <c r="H57" s="35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5"/>
      <c r="AC57" s="75"/>
    </row>
    <row r="58" spans="2:64">
      <c r="B58" s="36" t="s">
        <v>368</v>
      </c>
      <c r="D58" s="155">
        <f>$F$43-$G$44</f>
        <v>43634.840000000011</v>
      </c>
      <c r="E58" s="155">
        <f>$F$7-$G$7</f>
        <v>47106.180000000008</v>
      </c>
      <c r="F58" s="77"/>
      <c r="H58" s="64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5"/>
      <c r="AC58" s="75"/>
    </row>
    <row r="59" spans="2:64">
      <c r="B59" s="36" t="s">
        <v>57</v>
      </c>
      <c r="D59" s="155">
        <f>$AD$43-$AE$44</f>
        <v>921217.94</v>
      </c>
      <c r="E59" s="155">
        <f>$AD$7-$AE$7</f>
        <v>867962.94</v>
      </c>
      <c r="F59" s="77"/>
      <c r="H59" s="64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5"/>
      <c r="AC59" s="75"/>
    </row>
    <row r="60" spans="2:64">
      <c r="B60" s="36" t="s">
        <v>58</v>
      </c>
      <c r="C60" s="177" t="s">
        <v>379</v>
      </c>
      <c r="D60" s="155">
        <f>$AZ$43-$BA$44</f>
        <v>-521.71999999999935</v>
      </c>
      <c r="E60" s="155">
        <f>$AZ$7-$BA$7</f>
        <v>5044.18</v>
      </c>
      <c r="F60" s="77"/>
      <c r="G60" s="77"/>
      <c r="H60" s="64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5"/>
      <c r="AC60" s="75"/>
    </row>
    <row r="61" spans="2:64">
      <c r="B61" s="36"/>
      <c r="D61" s="155"/>
      <c r="E61" s="155"/>
      <c r="F61" s="77"/>
      <c r="H61" s="64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5"/>
      <c r="AC61" s="75"/>
    </row>
    <row r="62" spans="2:64">
      <c r="B62" s="36" t="s">
        <v>144</v>
      </c>
      <c r="C62" s="177" t="s">
        <v>430</v>
      </c>
      <c r="D62" s="155">
        <f>$BD$43-$BE$44</f>
        <v>4727.8</v>
      </c>
      <c r="E62" s="155">
        <f>$BD$7-$BE$7</f>
        <v>4727.8</v>
      </c>
      <c r="F62" s="77"/>
      <c r="G62" s="77"/>
      <c r="H62" s="65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5"/>
      <c r="AC62" s="75"/>
    </row>
    <row r="63" spans="2:64" ht="13.5" thickBot="1">
      <c r="B63" s="33" t="s">
        <v>60</v>
      </c>
      <c r="D63" s="156">
        <f>SUM(D57:D62)</f>
        <v>969158.86</v>
      </c>
      <c r="E63" s="156">
        <f>SUM(E57:E62)</f>
        <v>924941.10000000009</v>
      </c>
      <c r="F63" s="37"/>
      <c r="H63" s="64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5"/>
      <c r="AC63" s="75"/>
    </row>
    <row r="64" spans="2:64" ht="13.5" thickTop="1">
      <c r="B64" s="35"/>
      <c r="D64" s="77"/>
      <c r="E64" s="77"/>
      <c r="F64" s="37"/>
      <c r="H64" s="64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5"/>
      <c r="AC64" s="75"/>
    </row>
    <row r="65" spans="2:29">
      <c r="B65" s="35"/>
      <c r="D65" s="77"/>
      <c r="E65" s="94"/>
      <c r="F65" s="37"/>
      <c r="H65" s="64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5"/>
      <c r="AC65" s="75"/>
    </row>
    <row r="66" spans="2:29">
      <c r="B66" s="33" t="s">
        <v>61</v>
      </c>
      <c r="D66" s="77"/>
      <c r="E66" s="77"/>
      <c r="F66" s="37"/>
      <c r="H66" s="64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5"/>
      <c r="AC66" s="75"/>
    </row>
    <row r="67" spans="2:29">
      <c r="B67" s="36"/>
      <c r="D67" s="155"/>
      <c r="E67" s="155"/>
      <c r="F67" s="37"/>
      <c r="G67" s="77"/>
      <c r="H67" s="64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5"/>
      <c r="AC67" s="75"/>
    </row>
    <row r="68" spans="2:29">
      <c r="B68" s="35" t="s">
        <v>63</v>
      </c>
      <c r="D68" s="155">
        <f>$AN$43-$AO$44</f>
        <v>950000</v>
      </c>
      <c r="E68" s="155">
        <f>$AN$7-$AO$7</f>
        <v>950000</v>
      </c>
      <c r="F68" s="37"/>
      <c r="H68" s="64"/>
    </row>
    <row r="69" spans="2:29">
      <c r="B69" s="36" t="s">
        <v>64</v>
      </c>
      <c r="D69" s="155">
        <f>$AP$43-$AQ$44</f>
        <v>112480</v>
      </c>
      <c r="E69" s="155">
        <f>$AP$7-$AQ$7</f>
        <v>112480</v>
      </c>
      <c r="F69" s="37"/>
    </row>
    <row r="70" spans="2:29">
      <c r="B70" s="36" t="s">
        <v>339</v>
      </c>
      <c r="D70" s="155">
        <f>$AR$43-$AS$44</f>
        <v>5000</v>
      </c>
      <c r="E70" s="155">
        <f>$AR$7-$AS$7</f>
        <v>5000</v>
      </c>
      <c r="F70" s="37"/>
    </row>
    <row r="71" spans="2:29" ht="13.5" thickBot="1">
      <c r="B71" s="38" t="s">
        <v>66</v>
      </c>
      <c r="D71" s="156">
        <f>SUM(D67:D70)</f>
        <v>1067480</v>
      </c>
      <c r="E71" s="156">
        <f>SUM(E67:E70)</f>
        <v>1067480</v>
      </c>
      <c r="F71" s="37"/>
    </row>
    <row r="72" spans="2:29" ht="13.5" thickTop="1">
      <c r="B72" s="35"/>
      <c r="D72" s="77"/>
      <c r="E72" s="77"/>
      <c r="F72" s="37"/>
    </row>
    <row r="73" spans="2:29">
      <c r="B73" s="35"/>
      <c r="D73" s="77"/>
      <c r="E73" s="77"/>
      <c r="F73" s="37"/>
    </row>
    <row r="74" spans="2:29" ht="13.5" thickBot="1">
      <c r="B74" s="38" t="s">
        <v>67</v>
      </c>
      <c r="D74" s="156">
        <f>D63+D71</f>
        <v>2036638.8599999999</v>
      </c>
      <c r="E74" s="156">
        <f>E63+E71</f>
        <v>1992421.1</v>
      </c>
      <c r="F74" s="37"/>
      <c r="AB74" s="75"/>
      <c r="AC74" s="75"/>
    </row>
    <row r="75" spans="2:29" ht="13.5" thickTop="1">
      <c r="B75" s="35"/>
      <c r="D75" s="77"/>
      <c r="E75" s="77"/>
      <c r="AB75" s="75"/>
      <c r="AC75" s="75"/>
    </row>
    <row r="76" spans="2:29">
      <c r="B76" s="35"/>
      <c r="D76" s="77"/>
      <c r="E76" s="77"/>
      <c r="AB76" s="75"/>
      <c r="AC76" s="75"/>
    </row>
    <row r="77" spans="2:29">
      <c r="B77" s="33" t="s">
        <v>68</v>
      </c>
      <c r="D77" s="77"/>
      <c r="E77" s="77"/>
      <c r="AB77" s="75"/>
      <c r="AC77" s="75"/>
    </row>
    <row r="78" spans="2:29">
      <c r="B78" s="35" t="s">
        <v>69</v>
      </c>
      <c r="D78" s="155">
        <f>-$BH$43+$BI$44</f>
        <v>0</v>
      </c>
      <c r="E78" s="155">
        <f>-$BH$7+$BI$7</f>
        <v>3500</v>
      </c>
      <c r="AB78" s="75"/>
      <c r="AC78" s="75"/>
    </row>
    <row r="79" spans="2:29">
      <c r="B79" s="36" t="s">
        <v>426</v>
      </c>
      <c r="D79" s="155">
        <f>-$BF$43+$BG$44</f>
        <v>12000</v>
      </c>
      <c r="E79" s="155">
        <f>-$BF$7+$BG$7</f>
        <v>0</v>
      </c>
      <c r="AB79" s="75"/>
      <c r="AC79" s="75"/>
    </row>
    <row r="80" spans="2:29" ht="13.5" thickBot="1">
      <c r="B80" s="33" t="s">
        <v>70</v>
      </c>
      <c r="D80" s="156">
        <f>SUM(D78:D79)</f>
        <v>12000</v>
      </c>
      <c r="E80" s="156">
        <f>SUM(E78:E79)</f>
        <v>3500</v>
      </c>
      <c r="H80" s="34"/>
    </row>
    <row r="81" spans="2:8" ht="13.5" thickTop="1">
      <c r="B81" s="35"/>
      <c r="D81" s="77"/>
      <c r="E81" s="77"/>
      <c r="G81" s="152"/>
    </row>
    <row r="82" spans="2:8">
      <c r="B82" s="35"/>
      <c r="D82" s="77"/>
      <c r="E82" s="77"/>
    </row>
    <row r="83" spans="2:8">
      <c r="B83" s="33" t="s">
        <v>71</v>
      </c>
      <c r="D83" s="77"/>
      <c r="E83" s="77"/>
    </row>
    <row r="84" spans="2:8">
      <c r="B84" s="35" t="s">
        <v>72</v>
      </c>
      <c r="D84" s="155">
        <f>-$AT$43+$AU$44</f>
        <v>1067480</v>
      </c>
      <c r="E84" s="155">
        <f>-$AT$7+$AU$7</f>
        <v>1067480</v>
      </c>
      <c r="F84" s="77"/>
      <c r="H84" s="77"/>
    </row>
    <row r="85" spans="2:8">
      <c r="B85" s="36" t="s">
        <v>73</v>
      </c>
      <c r="D85" s="155">
        <f>-$AV$43+$AW$44</f>
        <v>688140.99600000004</v>
      </c>
      <c r="E85" s="155">
        <f>-$AV$7+$AW$7</f>
        <v>688140.99600000004</v>
      </c>
    </row>
    <row r="86" spans="2:8">
      <c r="B86" s="36" t="s">
        <v>74</v>
      </c>
      <c r="D86" s="155">
        <f>-$AX$43+$AY$44</f>
        <v>233300.10399999999</v>
      </c>
      <c r="E86" s="155">
        <f>-$AX$7+$AY$7</f>
        <v>233300.10399999999</v>
      </c>
      <c r="F86" s="39"/>
    </row>
    <row r="87" spans="2:8" ht="13.5" thickBot="1">
      <c r="B87" s="38" t="s">
        <v>75</v>
      </c>
      <c r="D87" s="156">
        <f>SUM(D84:D86)</f>
        <v>1988921.1</v>
      </c>
      <c r="E87" s="156">
        <f>SUM(E84:E86)</f>
        <v>1988921.1</v>
      </c>
      <c r="F87" s="66"/>
    </row>
    <row r="88" spans="2:8" ht="13.5" thickTop="1">
      <c r="B88" s="35"/>
      <c r="D88" s="77"/>
      <c r="E88" s="77"/>
    </row>
    <row r="89" spans="2:8">
      <c r="B89" s="33" t="s">
        <v>76</v>
      </c>
      <c r="D89" s="77"/>
      <c r="E89" s="77"/>
      <c r="F89" s="77"/>
    </row>
    <row r="90" spans="2:8">
      <c r="B90" s="36" t="s">
        <v>369</v>
      </c>
      <c r="D90" s="155">
        <f>D74-D80-D87</f>
        <v>35717.759999999776</v>
      </c>
      <c r="E90" s="155">
        <v>0</v>
      </c>
      <c r="F90" s="41"/>
    </row>
    <row r="91" spans="2:8">
      <c r="B91" s="35"/>
      <c r="D91" s="77"/>
      <c r="E91" s="77"/>
    </row>
    <row r="92" spans="2:8" ht="13.5" thickBot="1">
      <c r="B92" s="33" t="s">
        <v>77</v>
      </c>
      <c r="D92" s="156">
        <f>D80+D87+D90</f>
        <v>2036638.8599999999</v>
      </c>
      <c r="E92" s="156">
        <f>E80+E87+E90</f>
        <v>1992421.1</v>
      </c>
    </row>
    <row r="93" spans="2:8" ht="13.5" thickTop="1">
      <c r="B93" s="35"/>
      <c r="D93" s="77"/>
      <c r="E93" s="77"/>
    </row>
    <row r="94" spans="2:8">
      <c r="D94" s="77"/>
      <c r="E94" s="77"/>
    </row>
    <row r="95" spans="2:8" ht="24.75">
      <c r="B95" s="147" t="s">
        <v>421</v>
      </c>
      <c r="D95" s="77"/>
      <c r="E95" s="77"/>
    </row>
    <row r="96" spans="2:8">
      <c r="D96" s="77"/>
      <c r="E96" s="77"/>
      <c r="F96" s="35"/>
      <c r="G96" s="73"/>
    </row>
    <row r="97" spans="2:27" ht="19.5">
      <c r="B97" s="148" t="s">
        <v>313</v>
      </c>
      <c r="C97" s="148"/>
      <c r="D97" s="148">
        <v>2008</v>
      </c>
      <c r="E97" s="148">
        <v>2007</v>
      </c>
      <c r="F97" s="148" t="s">
        <v>320</v>
      </c>
      <c r="G97" s="149" t="s">
        <v>314</v>
      </c>
      <c r="H97" s="150" t="s">
        <v>315</v>
      </c>
      <c r="I97" s="148" t="s">
        <v>385</v>
      </c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</row>
    <row r="98" spans="2:27">
      <c r="B98" s="34" t="s">
        <v>153</v>
      </c>
      <c r="D98" s="77"/>
      <c r="E98" s="77"/>
      <c r="F98" s="35"/>
      <c r="G98" s="35"/>
    </row>
    <row r="99" spans="2:27">
      <c r="B99" t="s">
        <v>154</v>
      </c>
      <c r="D99" s="155">
        <f>-$AB$43+$AC$44</f>
        <v>21800</v>
      </c>
      <c r="E99" s="155">
        <v>22800</v>
      </c>
      <c r="F99" s="155">
        <v>22000</v>
      </c>
      <c r="G99" s="155">
        <f>D99-F99</f>
        <v>-200</v>
      </c>
      <c r="H99" s="151">
        <f>IF(F99=0,"---",G99/F99)</f>
        <v>-9.0909090909090905E-3</v>
      </c>
      <c r="I99" s="155">
        <v>22000</v>
      </c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</row>
    <row r="100" spans="2:27">
      <c r="B100" t="s">
        <v>155</v>
      </c>
      <c r="D100" s="155">
        <f>-$AF$43+$AG$44</f>
        <v>53255</v>
      </c>
      <c r="E100" s="155">
        <v>35724</v>
      </c>
      <c r="F100" s="155">
        <v>40000</v>
      </c>
      <c r="G100" s="155">
        <f>D100-F100</f>
        <v>13255</v>
      </c>
      <c r="H100" s="151">
        <f>IF(F100=0,"---",G100/F100)</f>
        <v>0.33137499999999998</v>
      </c>
      <c r="I100" s="155">
        <v>40000</v>
      </c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</row>
    <row r="101" spans="2:27">
      <c r="B101" t="s">
        <v>156</v>
      </c>
      <c r="D101" s="155">
        <f>-$AH$43+$AI$44</f>
        <v>63.36</v>
      </c>
      <c r="E101" s="155">
        <v>61.63</v>
      </c>
      <c r="F101" s="155">
        <v>50</v>
      </c>
      <c r="G101" s="155">
        <f>D101-F101</f>
        <v>13.36</v>
      </c>
      <c r="H101" s="151">
        <f>IF(F101=0,"---",G101/F101)</f>
        <v>0.26719999999999999</v>
      </c>
      <c r="I101" s="155">
        <v>50</v>
      </c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</row>
    <row r="102" spans="2:27">
      <c r="B102" s="79" t="s">
        <v>355</v>
      </c>
      <c r="D102" s="155">
        <f>-$AJ$43+$AK$44</f>
        <v>0</v>
      </c>
      <c r="E102" s="155">
        <v>314.5</v>
      </c>
      <c r="F102" s="155">
        <v>0</v>
      </c>
      <c r="G102" s="155"/>
      <c r="H102" s="151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</row>
    <row r="103" spans="2:27" ht="16.5" thickBot="1">
      <c r="B103" s="154" t="s">
        <v>158</v>
      </c>
      <c r="C103" s="154"/>
      <c r="D103" s="156">
        <f>SUM(D99:D102)</f>
        <v>75118.36</v>
      </c>
      <c r="E103" s="156">
        <v>58900.13</v>
      </c>
      <c r="F103" s="156">
        <v>62050</v>
      </c>
      <c r="G103" s="156">
        <f>SUM(G99:G102)</f>
        <v>13068.36</v>
      </c>
      <c r="H103" s="153">
        <f>IF(F103=0,"---",G103/F103)</f>
        <v>0.21061015310233683</v>
      </c>
      <c r="I103" s="156">
        <f>SUM(I99:I102)</f>
        <v>62050</v>
      </c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</row>
    <row r="104" spans="2:27" ht="13.5" thickTop="1">
      <c r="D104" s="77"/>
      <c r="E104" s="77"/>
      <c r="F104" s="77"/>
      <c r="G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</row>
    <row r="105" spans="2:27">
      <c r="B105" s="34" t="s">
        <v>159</v>
      </c>
      <c r="D105" s="77"/>
      <c r="E105" s="77"/>
      <c r="F105" s="77"/>
      <c r="G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</row>
    <row r="106" spans="2:27">
      <c r="B106" t="s">
        <v>290</v>
      </c>
      <c r="D106" s="155">
        <f>$H$43-$I$44</f>
        <v>0</v>
      </c>
      <c r="E106" s="155">
        <v>5000</v>
      </c>
      <c r="F106" s="155">
        <v>5000</v>
      </c>
      <c r="G106" s="155">
        <f>D106-F106</f>
        <v>-5000</v>
      </c>
      <c r="H106" s="151">
        <f t="shared" ref="H106:H118" si="1">IF(F106=0,"---",G106/F106)</f>
        <v>-1</v>
      </c>
      <c r="I106" s="155">
        <v>5000</v>
      </c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</row>
    <row r="107" spans="2:27">
      <c r="B107" t="s">
        <v>161</v>
      </c>
      <c r="D107" s="155">
        <f>$J$43-$K$44</f>
        <v>0</v>
      </c>
      <c r="E107" s="155">
        <v>12843</v>
      </c>
      <c r="F107" s="155">
        <v>5000</v>
      </c>
      <c r="G107" s="155">
        <f t="shared" ref="G107:G117" si="2">D107-F107</f>
        <v>-5000</v>
      </c>
      <c r="H107" s="151">
        <f t="shared" si="1"/>
        <v>-1</v>
      </c>
      <c r="I107" s="155">
        <v>5000</v>
      </c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</row>
    <row r="108" spans="2:27">
      <c r="B108" t="s">
        <v>162</v>
      </c>
      <c r="C108" s="177" t="s">
        <v>380</v>
      </c>
      <c r="D108" s="155">
        <f>$L$43-$M$44</f>
        <v>7300</v>
      </c>
      <c r="E108" s="155">
        <v>9420</v>
      </c>
      <c r="F108" s="155">
        <v>8000</v>
      </c>
      <c r="G108" s="155">
        <f t="shared" si="2"/>
        <v>-700</v>
      </c>
      <c r="H108" s="151">
        <f t="shared" si="1"/>
        <v>-8.7499999999999994E-2</v>
      </c>
      <c r="I108" s="155">
        <v>8000</v>
      </c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</row>
    <row r="109" spans="2:27">
      <c r="B109" t="s">
        <v>163</v>
      </c>
      <c r="D109" s="155">
        <f>$N$43-$O$44</f>
        <v>0</v>
      </c>
      <c r="E109" s="155">
        <v>2890.5</v>
      </c>
      <c r="F109" s="155">
        <v>5000</v>
      </c>
      <c r="G109" s="155">
        <f t="shared" si="2"/>
        <v>-5000</v>
      </c>
      <c r="H109" s="151">
        <f t="shared" si="1"/>
        <v>-1</v>
      </c>
      <c r="I109" s="155">
        <v>5000</v>
      </c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</row>
    <row r="110" spans="2:27">
      <c r="B110" t="s">
        <v>321</v>
      </c>
      <c r="D110" s="155">
        <f>$P$43-$Q$44</f>
        <v>1160</v>
      </c>
      <c r="E110" s="155">
        <v>990</v>
      </c>
      <c r="F110" s="155">
        <v>1100</v>
      </c>
      <c r="G110" s="155">
        <f t="shared" si="2"/>
        <v>60</v>
      </c>
      <c r="H110" s="151">
        <f t="shared" si="1"/>
        <v>5.4545454545454543E-2</v>
      </c>
      <c r="I110" s="155">
        <v>1200</v>
      </c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</row>
    <row r="111" spans="2:27">
      <c r="B111" t="s">
        <v>95</v>
      </c>
      <c r="D111" s="155">
        <f>$R$43-$S$44</f>
        <v>2132</v>
      </c>
      <c r="E111" s="155">
        <v>2172</v>
      </c>
      <c r="F111" s="155">
        <v>2200</v>
      </c>
      <c r="G111" s="155">
        <f t="shared" si="2"/>
        <v>-68</v>
      </c>
      <c r="H111" s="151">
        <f t="shared" si="1"/>
        <v>-3.090909090909091E-2</v>
      </c>
      <c r="I111" s="155">
        <v>2200</v>
      </c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</row>
    <row r="112" spans="2:27">
      <c r="B112" t="s">
        <v>166</v>
      </c>
      <c r="C112" s="177" t="s">
        <v>378</v>
      </c>
      <c r="D112" s="155">
        <f>$T$43-$U$44</f>
        <v>13512</v>
      </c>
      <c r="E112" s="155">
        <v>2030.6</v>
      </c>
      <c r="F112" s="155">
        <v>12000</v>
      </c>
      <c r="G112" s="155">
        <f t="shared" si="2"/>
        <v>1512</v>
      </c>
      <c r="H112" s="151">
        <f t="shared" si="1"/>
        <v>0.126</v>
      </c>
      <c r="I112" s="155">
        <v>12000</v>
      </c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</row>
    <row r="113" spans="2:27">
      <c r="B113" t="s">
        <v>169</v>
      </c>
      <c r="D113" s="155">
        <f>$V$43-$W$44</f>
        <v>2500</v>
      </c>
      <c r="E113" s="155">
        <v>2500</v>
      </c>
      <c r="F113" s="155">
        <v>2500</v>
      </c>
      <c r="G113" s="155">
        <f t="shared" si="2"/>
        <v>0</v>
      </c>
      <c r="H113" s="151">
        <f t="shared" si="1"/>
        <v>0</v>
      </c>
      <c r="I113" s="155">
        <v>2500</v>
      </c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</row>
    <row r="114" spans="2:27">
      <c r="B114" t="s">
        <v>170</v>
      </c>
      <c r="D114" s="155">
        <f>$X$43-$Y$44</f>
        <v>235</v>
      </c>
      <c r="E114" s="155">
        <v>4136</v>
      </c>
      <c r="F114" s="155">
        <v>500</v>
      </c>
      <c r="G114" s="155">
        <f t="shared" si="2"/>
        <v>-265</v>
      </c>
      <c r="H114" s="151">
        <f t="shared" si="1"/>
        <v>-0.53</v>
      </c>
      <c r="I114" s="155">
        <v>500</v>
      </c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</row>
    <row r="115" spans="2:27">
      <c r="B115" t="s">
        <v>422</v>
      </c>
      <c r="D115" s="155">
        <v>0</v>
      </c>
      <c r="E115" s="155">
        <v>0</v>
      </c>
      <c r="F115" s="155">
        <v>0</v>
      </c>
      <c r="G115" s="155">
        <f>D115-F115</f>
        <v>0</v>
      </c>
      <c r="H115" s="151" t="str">
        <f>IF(F115=0,"---",G115/F115)</f>
        <v>---</v>
      </c>
      <c r="I115" s="155">
        <v>10000</v>
      </c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</row>
    <row r="116" spans="2:27">
      <c r="B116" t="s">
        <v>427</v>
      </c>
      <c r="C116" s="177" t="s">
        <v>428</v>
      </c>
      <c r="D116" s="155">
        <v>0</v>
      </c>
      <c r="E116" s="155">
        <v>0</v>
      </c>
      <c r="F116" s="155">
        <v>0</v>
      </c>
      <c r="G116" s="155">
        <f>D116-F116</f>
        <v>0</v>
      </c>
      <c r="H116" s="151" t="str">
        <f>IF(F116=0,"---",G116/F116)</f>
        <v>---</v>
      </c>
      <c r="I116" s="155">
        <v>1000</v>
      </c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</row>
    <row r="117" spans="2:27">
      <c r="B117" t="s">
        <v>381</v>
      </c>
      <c r="D117" s="155">
        <f>$Z$43-$AA$44</f>
        <v>12561.6</v>
      </c>
      <c r="E117" s="155">
        <v>0</v>
      </c>
      <c r="F117" s="155">
        <v>12000</v>
      </c>
      <c r="G117" s="155">
        <f t="shared" si="2"/>
        <v>561.60000000000036</v>
      </c>
      <c r="H117" s="151">
        <f t="shared" si="1"/>
        <v>4.6800000000000029E-2</v>
      </c>
      <c r="I117" s="155">
        <v>12000</v>
      </c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</row>
    <row r="118" spans="2:27" ht="16.5" thickBot="1">
      <c r="B118" s="154" t="s">
        <v>171</v>
      </c>
      <c r="C118" s="154"/>
      <c r="D118" s="156">
        <f>SUM(D106:D117)</f>
        <v>39400.6</v>
      </c>
      <c r="E118" s="156">
        <f>SUM(E106:E117)</f>
        <v>41982.1</v>
      </c>
      <c r="F118" s="156">
        <v>53300</v>
      </c>
      <c r="G118" s="156">
        <f>SUM(G106:G117)</f>
        <v>-13899.4</v>
      </c>
      <c r="H118" s="153">
        <f t="shared" si="1"/>
        <v>-0.26077673545966229</v>
      </c>
      <c r="I118" s="156">
        <f>SUM(I106:I117)</f>
        <v>64400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</row>
    <row r="119" spans="2:27" ht="13.5" thickTop="1"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</row>
    <row r="120" spans="2:27" ht="16.5" thickBot="1">
      <c r="B120" s="154" t="s">
        <v>141</v>
      </c>
      <c r="C120" s="154"/>
      <c r="D120" s="156">
        <f>D103-D118</f>
        <v>35717.760000000002</v>
      </c>
      <c r="E120" s="156">
        <v>16918.03</v>
      </c>
      <c r="F120" s="156">
        <v>8750</v>
      </c>
      <c r="G120" s="156">
        <f>G103-G118</f>
        <v>26967.760000000002</v>
      </c>
      <c r="H120" s="153">
        <f>IF(F120=0,"---",G120/F120)</f>
        <v>3.0820297142857145</v>
      </c>
      <c r="I120" s="156">
        <f>I103-I118</f>
        <v>-2350</v>
      </c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</row>
    <row r="121" spans="2:27" ht="13.5" thickTop="1">
      <c r="D121" s="77"/>
      <c r="E121" s="77"/>
      <c r="F121" s="77"/>
      <c r="G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</row>
    <row r="122" spans="2:27">
      <c r="B122" s="34" t="s">
        <v>172</v>
      </c>
      <c r="D122" s="77"/>
      <c r="E122" s="77"/>
      <c r="F122" s="77"/>
      <c r="G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</row>
    <row r="123" spans="2:27">
      <c r="B123" t="s">
        <v>173</v>
      </c>
      <c r="D123" s="155">
        <f>SUM(D100:D101)*0.2</f>
        <v>10663.672</v>
      </c>
      <c r="E123" s="155">
        <v>7157.1260000000002</v>
      </c>
      <c r="F123" s="155">
        <v>8010</v>
      </c>
      <c r="G123" s="155">
        <f>D123-F123</f>
        <v>2653.6720000000005</v>
      </c>
      <c r="H123" s="151">
        <f>IF(F123=0,"---",G123/F123)</f>
        <v>0.33129488139825225</v>
      </c>
      <c r="I123" s="155">
        <f>SUM(I100:I101)*0.2</f>
        <v>8010</v>
      </c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</row>
    <row r="124" spans="2:27">
      <c r="B124" t="s">
        <v>174</v>
      </c>
      <c r="D124" s="155">
        <f>D120-D123</f>
        <v>25054.088000000003</v>
      </c>
      <c r="E124" s="155">
        <v>9760.9039999999986</v>
      </c>
      <c r="F124" s="155">
        <v>740</v>
      </c>
      <c r="G124" s="155">
        <f>D124-F124</f>
        <v>24314.088000000003</v>
      </c>
      <c r="H124" s="151">
        <f>IF(F124=0,"---",G124/F124)</f>
        <v>32.856875675675681</v>
      </c>
      <c r="I124" s="155">
        <f>I120-I123</f>
        <v>-10360</v>
      </c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</row>
    <row r="125" spans="2:27" ht="16.5" thickBot="1">
      <c r="B125" s="154" t="s">
        <v>175</v>
      </c>
      <c r="C125" s="154"/>
      <c r="D125" s="156">
        <f>SUM(D123:D124)</f>
        <v>35717.760000000002</v>
      </c>
      <c r="E125" s="156">
        <v>16918.03</v>
      </c>
      <c r="F125" s="156">
        <v>8750</v>
      </c>
      <c r="G125" s="156">
        <f>D125-F125</f>
        <v>26967.760000000002</v>
      </c>
      <c r="H125" s="153">
        <f>IF(F125=0,"---",G125/F125)</f>
        <v>3.0820297142857145</v>
      </c>
      <c r="I125" s="156">
        <f>SUM(I123:I124)</f>
        <v>-2350</v>
      </c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</row>
    <row r="126" spans="2:27" ht="13.5" thickTop="1"/>
    <row r="127" spans="2:27">
      <c r="F127" s="113"/>
    </row>
    <row r="128" spans="2:27">
      <c r="D128" s="79" t="str">
        <f>IF(AND(D90-D125&lt;1,D90-D125&gt;-1),"OK","FEIL !!")</f>
        <v>OK</v>
      </c>
      <c r="F128" s="113"/>
    </row>
    <row r="129" spans="2:27">
      <c r="F129" s="77"/>
    </row>
    <row r="130" spans="2:27">
      <c r="D130" s="77"/>
      <c r="F130" s="77"/>
    </row>
    <row r="132" spans="2:27">
      <c r="B132" s="177" t="s">
        <v>378</v>
      </c>
      <c r="F132" s="177" t="s">
        <v>379</v>
      </c>
    </row>
    <row r="133" spans="2:27">
      <c r="B133" s="34" t="s">
        <v>166</v>
      </c>
      <c r="D133" t="s">
        <v>415</v>
      </c>
      <c r="F133" s="34" t="s">
        <v>374</v>
      </c>
    </row>
    <row r="134" spans="2:27">
      <c r="B134" t="s">
        <v>416</v>
      </c>
      <c r="C134" t="s">
        <v>432</v>
      </c>
      <c r="D134" s="113">
        <v>6094</v>
      </c>
      <c r="F134" s="34" t="s">
        <v>177</v>
      </c>
    </row>
    <row r="135" spans="2:27">
      <c r="B135" t="s">
        <v>417</v>
      </c>
      <c r="D135" s="113">
        <v>2812.5</v>
      </c>
      <c r="F135" s="79" t="s">
        <v>409</v>
      </c>
      <c r="G135" s="34"/>
      <c r="H135" s="80"/>
      <c r="I135" s="77">
        <v>5044</v>
      </c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</row>
    <row r="136" spans="2:27">
      <c r="B136" t="s">
        <v>418</v>
      </c>
      <c r="D136" s="113">
        <v>206</v>
      </c>
      <c r="F136" s="79" t="s">
        <v>204</v>
      </c>
      <c r="I136" s="77">
        <v>1734</v>
      </c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</row>
    <row r="137" spans="2:27">
      <c r="B137" t="s">
        <v>419</v>
      </c>
      <c r="D137" s="113">
        <v>3481.5</v>
      </c>
      <c r="F137" s="79" t="s">
        <v>413</v>
      </c>
      <c r="G137" s="34"/>
      <c r="H137" s="80"/>
      <c r="I137" s="77">
        <f>I149</f>
        <v>-7300</v>
      </c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</row>
    <row r="138" spans="2:27" ht="13.5" thickBot="1">
      <c r="B138" t="s">
        <v>420</v>
      </c>
      <c r="D138" s="113">
        <v>918</v>
      </c>
      <c r="F138" s="34" t="s">
        <v>414</v>
      </c>
      <c r="G138" s="82"/>
      <c r="H138" s="82"/>
      <c r="I138" s="175">
        <f>SUM(I135:I137)</f>
        <v>-522</v>
      </c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</row>
    <row r="139" spans="2:27" ht="14.25" thickTop="1" thickBot="1">
      <c r="B139" s="91" t="s">
        <v>166</v>
      </c>
      <c r="D139" s="176">
        <f>SUM(D134:D138)</f>
        <v>13512</v>
      </c>
      <c r="F139" s="34"/>
      <c r="G139" s="82"/>
      <c r="H139" s="82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</row>
    <row r="140" spans="2:27" ht="13.5" thickTop="1">
      <c r="F140" s="177" t="s">
        <v>380</v>
      </c>
      <c r="G140" s="82"/>
      <c r="H140" s="82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</row>
    <row r="141" spans="2:27">
      <c r="F141" s="34" t="s">
        <v>186</v>
      </c>
      <c r="G141" s="82"/>
      <c r="H141" s="82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</row>
    <row r="142" spans="2:27">
      <c r="B142" s="177" t="s">
        <v>428</v>
      </c>
      <c r="F142" s="79" t="s">
        <v>294</v>
      </c>
      <c r="G142" s="82"/>
      <c r="H142" s="64">
        <v>2025</v>
      </c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</row>
    <row r="143" spans="2:27">
      <c r="B143" t="s">
        <v>429</v>
      </c>
      <c r="F143" s="79" t="s">
        <v>295</v>
      </c>
      <c r="G143" s="82"/>
      <c r="H143" s="64">
        <v>7591</v>
      </c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</row>
    <row r="144" spans="2:27">
      <c r="F144" s="79" t="s">
        <v>293</v>
      </c>
      <c r="G144" s="82"/>
      <c r="H144" s="64"/>
      <c r="I144" s="64">
        <f>H142-H143</f>
        <v>-5566</v>
      </c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</row>
    <row r="145" spans="2:27">
      <c r="B145" s="177" t="s">
        <v>430</v>
      </c>
      <c r="F145" s="79" t="s">
        <v>410</v>
      </c>
      <c r="G145" s="82"/>
      <c r="H145" s="64">
        <v>0</v>
      </c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</row>
    <row r="146" spans="2:27">
      <c r="B146" t="s">
        <v>431</v>
      </c>
      <c r="F146" s="79" t="s">
        <v>411</v>
      </c>
      <c r="G146" s="82"/>
      <c r="H146" s="64">
        <v>1734</v>
      </c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</row>
    <row r="147" spans="2:27">
      <c r="F147" s="79" t="s">
        <v>296</v>
      </c>
      <c r="G147" s="82"/>
      <c r="H147" s="64"/>
      <c r="I147" s="64">
        <f>H145-H146</f>
        <v>-1734</v>
      </c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</row>
    <row r="148" spans="2:27">
      <c r="F148" s="79" t="s">
        <v>366</v>
      </c>
      <c r="G148" s="82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</row>
    <row r="149" spans="2:27" ht="13.5" thickBot="1">
      <c r="F149" s="34" t="s">
        <v>413</v>
      </c>
      <c r="G149" s="34"/>
      <c r="H149" s="34"/>
      <c r="I149" s="175">
        <f>SUM(I142:I148)</f>
        <v>-7300</v>
      </c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</row>
    <row r="150" spans="2:27" ht="13.5" thickTop="1">
      <c r="B150" t="s">
        <v>432</v>
      </c>
    </row>
    <row r="151" spans="2:27">
      <c r="B151" t="s">
        <v>433</v>
      </c>
    </row>
    <row r="152" spans="2:27">
      <c r="B152" t="s">
        <v>434</v>
      </c>
    </row>
    <row r="153" spans="2:27">
      <c r="B153" t="s">
        <v>435</v>
      </c>
    </row>
  </sheetData>
  <mergeCells count="38"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Z4:AA4"/>
    <mergeCell ref="AF4:AG4"/>
    <mergeCell ref="AH4:AI4"/>
    <mergeCell ref="AJ4:AK4"/>
    <mergeCell ref="AZ4:BA4"/>
    <mergeCell ref="BB4:BC4"/>
    <mergeCell ref="BD4:BE4"/>
    <mergeCell ref="BF4:BG4"/>
    <mergeCell ref="D5:E5"/>
    <mergeCell ref="F5:G5"/>
    <mergeCell ref="H5:I5"/>
    <mergeCell ref="J5:K5"/>
    <mergeCell ref="L5:M5"/>
    <mergeCell ref="N5:O5"/>
    <mergeCell ref="P5:Q5"/>
    <mergeCell ref="BD5:BE5"/>
    <mergeCell ref="V5:W5"/>
    <mergeCell ref="R5:S5"/>
    <mergeCell ref="T5:U5"/>
    <mergeCell ref="BB5:BC5"/>
    <mergeCell ref="X5:Y5"/>
    <mergeCell ref="AB5:AC5"/>
    <mergeCell ref="AF5:AG5"/>
    <mergeCell ref="AH5:AI5"/>
    <mergeCell ref="AJ5:AK5"/>
    <mergeCell ref="Z5:AA5"/>
  </mergeCells>
  <phoneticPr fontId="2" type="noConversion"/>
  <pageMargins left="0.7" right="0.7" top="0.75" bottom="0.75" header="0.3" footer="0.3"/>
  <legacy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>
    <pageSetUpPr fitToPage="1"/>
  </sheetPr>
  <dimension ref="A1:EH158"/>
  <sheetViews>
    <sheetView workbookViewId="0">
      <pane ySplit="6" topLeftCell="A46" activePane="bottomLeft" state="frozen"/>
      <selection pane="bottomLeft" activeCell="D100" sqref="D100"/>
    </sheetView>
  </sheetViews>
  <sheetFormatPr baseColWidth="10" defaultColWidth="11.42578125" defaultRowHeight="12.75"/>
  <cols>
    <col min="1" max="1" width="10.140625" bestFit="1" customWidth="1"/>
    <col min="2" max="2" width="27.7109375" customWidth="1"/>
    <col min="3" max="3" width="6.85546875" customWidth="1"/>
    <col min="4" max="5" width="9.140625" customWidth="1"/>
    <col min="6" max="6" width="15.85546875" customWidth="1"/>
    <col min="7" max="7" width="13" customWidth="1"/>
    <col min="8" max="8" width="11" customWidth="1"/>
    <col min="9" max="9" width="16.28515625" customWidth="1"/>
    <col min="10" max="26" width="8.42578125" customWidth="1"/>
    <col min="27" max="27" width="8.7109375" customWidth="1"/>
    <col min="28" max="28" width="10" customWidth="1"/>
    <col min="29" max="29" width="8.7109375" customWidth="1"/>
    <col min="30" max="30" width="8.42578125" customWidth="1"/>
    <col min="31" max="35" width="9.28515625" customWidth="1"/>
    <col min="36" max="36" width="7.7109375" customWidth="1"/>
    <col min="37" max="37" width="7.85546875" customWidth="1"/>
    <col min="38" max="38" width="10.42578125" customWidth="1"/>
    <col min="39" max="39" width="6.85546875" customWidth="1"/>
    <col min="40" max="40" width="8.42578125" customWidth="1"/>
    <col min="41" max="41" width="5" customWidth="1"/>
    <col min="42" max="42" width="7.7109375" customWidth="1"/>
    <col min="43" max="43" width="5.28515625" customWidth="1"/>
    <col min="44" max="44" width="7.85546875" customWidth="1"/>
    <col min="45" max="45" width="10.42578125" customWidth="1"/>
    <col min="46" max="46" width="5" customWidth="1"/>
    <col min="47" max="47" width="9.42578125" customWidth="1"/>
    <col min="48" max="48" width="5.42578125" customWidth="1"/>
    <col min="49" max="57" width="9.42578125" customWidth="1"/>
    <col min="58" max="58" width="8.7109375" customWidth="1"/>
    <col min="59" max="59" width="9.140625" customWidth="1"/>
    <col min="60" max="60" width="11.42578125" customWidth="1"/>
    <col min="61" max="61" width="9.42578125" customWidth="1"/>
    <col min="62" max="62" width="12" customWidth="1"/>
    <col min="63" max="63" width="12.85546875" bestFit="1" customWidth="1"/>
  </cols>
  <sheetData>
    <row r="1" spans="1:138" ht="20.25">
      <c r="A1" s="121" t="s">
        <v>317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3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</row>
    <row r="2" spans="1:138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3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</row>
    <row r="3" spans="1:138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3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</row>
    <row r="4" spans="1:138">
      <c r="A4" s="161" t="s">
        <v>20</v>
      </c>
      <c r="B4" s="161" t="s">
        <v>0</v>
      </c>
      <c r="C4" s="161" t="s">
        <v>1</v>
      </c>
      <c r="D4" s="592" t="s">
        <v>330</v>
      </c>
      <c r="E4" s="593"/>
      <c r="F4" s="592" t="s">
        <v>3</v>
      </c>
      <c r="G4" s="593"/>
      <c r="H4" s="586" t="s">
        <v>328</v>
      </c>
      <c r="I4" s="580"/>
      <c r="J4" s="586" t="s">
        <v>333</v>
      </c>
      <c r="K4" s="580"/>
      <c r="L4" s="586" t="s">
        <v>162</v>
      </c>
      <c r="M4" s="580"/>
      <c r="N4" s="586" t="s">
        <v>163</v>
      </c>
      <c r="O4" s="580"/>
      <c r="P4" s="586" t="s">
        <v>94</v>
      </c>
      <c r="Q4" s="580"/>
      <c r="R4" s="586" t="s">
        <v>95</v>
      </c>
      <c r="S4" s="580"/>
      <c r="T4" s="586" t="s">
        <v>336</v>
      </c>
      <c r="U4" s="580"/>
      <c r="V4" s="594">
        <v>39585</v>
      </c>
      <c r="W4" s="580"/>
      <c r="X4" s="586" t="s">
        <v>338</v>
      </c>
      <c r="Y4" s="580"/>
      <c r="Z4" s="590" t="s">
        <v>6</v>
      </c>
      <c r="AA4" s="591"/>
      <c r="AB4" s="124" t="s">
        <v>7</v>
      </c>
      <c r="AC4" s="126"/>
      <c r="AD4" s="590" t="s">
        <v>331</v>
      </c>
      <c r="AE4" s="591"/>
      <c r="AF4" s="590" t="s">
        <v>332</v>
      </c>
      <c r="AG4" s="591"/>
      <c r="AH4" s="590" t="s">
        <v>355</v>
      </c>
      <c r="AI4" s="591"/>
      <c r="AJ4" s="124" t="s">
        <v>9</v>
      </c>
      <c r="AK4" s="124"/>
      <c r="AL4" s="124" t="s">
        <v>10</v>
      </c>
      <c r="AM4" s="124"/>
      <c r="AN4" s="124" t="s">
        <v>11</v>
      </c>
      <c r="AO4" s="124"/>
      <c r="AP4" s="124" t="s">
        <v>12</v>
      </c>
      <c r="AQ4" s="124"/>
      <c r="AR4" s="124" t="s">
        <v>13</v>
      </c>
      <c r="AS4" s="124"/>
      <c r="AT4" s="124" t="s">
        <v>14</v>
      </c>
      <c r="AU4" s="124"/>
      <c r="AV4" s="124" t="s">
        <v>15</v>
      </c>
      <c r="AW4" s="124"/>
      <c r="AX4" s="588" t="s">
        <v>281</v>
      </c>
      <c r="AY4" s="589"/>
      <c r="AZ4" s="588" t="s">
        <v>282</v>
      </c>
      <c r="BA4" s="589"/>
      <c r="BB4" s="588" t="s">
        <v>282</v>
      </c>
      <c r="BC4" s="589"/>
      <c r="BD4" s="588" t="s">
        <v>285</v>
      </c>
      <c r="BE4" s="589"/>
      <c r="BF4" s="127" t="s">
        <v>30</v>
      </c>
      <c r="BG4" s="124"/>
      <c r="BH4" s="124" t="s">
        <v>32</v>
      </c>
      <c r="BI4" s="124"/>
    </row>
    <row r="5" spans="1:138">
      <c r="A5" s="161"/>
      <c r="B5" s="161"/>
      <c r="C5" s="161" t="s">
        <v>16</v>
      </c>
      <c r="D5" s="592"/>
      <c r="E5" s="593"/>
      <c r="F5" s="592" t="s">
        <v>249</v>
      </c>
      <c r="G5" s="593"/>
      <c r="H5" s="586" t="s">
        <v>329</v>
      </c>
      <c r="I5" s="587"/>
      <c r="J5" s="586" t="s">
        <v>334</v>
      </c>
      <c r="K5" s="580"/>
      <c r="L5" s="586"/>
      <c r="M5" s="587"/>
      <c r="N5" s="586"/>
      <c r="O5" s="587"/>
      <c r="P5" s="586" t="s">
        <v>335</v>
      </c>
      <c r="Q5" s="587"/>
      <c r="R5" s="586"/>
      <c r="S5" s="587"/>
      <c r="T5" s="586" t="s">
        <v>337</v>
      </c>
      <c r="U5" s="587"/>
      <c r="V5" s="586"/>
      <c r="W5" s="587"/>
      <c r="X5" s="586"/>
      <c r="Y5" s="587"/>
      <c r="Z5" s="590"/>
      <c r="AA5" s="591"/>
      <c r="AB5" s="124" t="s">
        <v>21</v>
      </c>
      <c r="AC5" s="126"/>
      <c r="AD5" s="590" t="s">
        <v>326</v>
      </c>
      <c r="AE5" s="591"/>
      <c r="AF5" s="590" t="s">
        <v>327</v>
      </c>
      <c r="AG5" s="591"/>
      <c r="AH5" s="590"/>
      <c r="AI5" s="591"/>
      <c r="AJ5" s="124" t="s">
        <v>22</v>
      </c>
      <c r="AK5" s="124"/>
      <c r="AL5" s="124" t="s">
        <v>23</v>
      </c>
      <c r="AM5" s="124"/>
      <c r="AN5" s="124" t="s">
        <v>24</v>
      </c>
      <c r="AO5" s="124"/>
      <c r="AP5" s="124" t="s">
        <v>25</v>
      </c>
      <c r="AQ5" s="124"/>
      <c r="AR5" s="124" t="s">
        <v>26</v>
      </c>
      <c r="AS5" s="124"/>
      <c r="AT5" s="124" t="s">
        <v>27</v>
      </c>
      <c r="AU5" s="124"/>
      <c r="AV5" s="124"/>
      <c r="AW5" s="124"/>
      <c r="AX5" s="124"/>
      <c r="AY5" s="124"/>
      <c r="AZ5" s="588" t="s">
        <v>284</v>
      </c>
      <c r="BA5" s="589"/>
      <c r="BB5" s="588" t="s">
        <v>283</v>
      </c>
      <c r="BC5" s="589"/>
      <c r="BD5" s="144"/>
      <c r="BE5" s="144"/>
      <c r="BF5" s="124"/>
      <c r="BG5" s="124"/>
      <c r="BH5" s="124"/>
      <c r="BI5" s="124"/>
    </row>
    <row r="6" spans="1:138">
      <c r="A6" s="3"/>
      <c r="B6" s="3"/>
      <c r="C6" s="3"/>
      <c r="D6" s="3" t="s">
        <v>28</v>
      </c>
      <c r="E6" s="3" t="s">
        <v>29</v>
      </c>
      <c r="F6" s="3" t="s">
        <v>28</v>
      </c>
      <c r="G6" s="3" t="s">
        <v>29</v>
      </c>
      <c r="H6" s="3" t="s">
        <v>28</v>
      </c>
      <c r="I6" s="3" t="s">
        <v>29</v>
      </c>
      <c r="J6" s="3" t="s">
        <v>28</v>
      </c>
      <c r="K6" s="3" t="s">
        <v>29</v>
      </c>
      <c r="L6" s="3" t="s">
        <v>28</v>
      </c>
      <c r="M6" s="3" t="s">
        <v>29</v>
      </c>
      <c r="N6" s="3" t="s">
        <v>28</v>
      </c>
      <c r="O6" s="3" t="s">
        <v>29</v>
      </c>
      <c r="P6" s="3" t="s">
        <v>28</v>
      </c>
      <c r="Q6" s="3" t="s">
        <v>29</v>
      </c>
      <c r="R6" s="3" t="s">
        <v>28</v>
      </c>
      <c r="S6" s="3" t="s">
        <v>29</v>
      </c>
      <c r="T6" s="3" t="s">
        <v>28</v>
      </c>
      <c r="U6" s="3" t="s">
        <v>29</v>
      </c>
      <c r="V6" s="3" t="s">
        <v>28</v>
      </c>
      <c r="W6" s="3" t="s">
        <v>29</v>
      </c>
      <c r="X6" s="3" t="s">
        <v>28</v>
      </c>
      <c r="Y6" s="3" t="s">
        <v>29</v>
      </c>
      <c r="Z6" s="3" t="s">
        <v>28</v>
      </c>
      <c r="AA6" s="3" t="s">
        <v>29</v>
      </c>
      <c r="AB6" s="3" t="s">
        <v>28</v>
      </c>
      <c r="AC6" s="128" t="s">
        <v>29</v>
      </c>
      <c r="AD6" s="3" t="s">
        <v>28</v>
      </c>
      <c r="AE6" s="3" t="s">
        <v>29</v>
      </c>
      <c r="AF6" s="3" t="s">
        <v>28</v>
      </c>
      <c r="AG6" s="3" t="s">
        <v>29</v>
      </c>
      <c r="AH6" s="3" t="s">
        <v>28</v>
      </c>
      <c r="AI6" s="3" t="s">
        <v>29</v>
      </c>
      <c r="AJ6" s="3" t="s">
        <v>28</v>
      </c>
      <c r="AK6" s="3" t="s">
        <v>29</v>
      </c>
      <c r="AL6" s="3" t="s">
        <v>28</v>
      </c>
      <c r="AM6" s="3" t="s">
        <v>29</v>
      </c>
      <c r="AN6" s="3" t="s">
        <v>28</v>
      </c>
      <c r="AO6" s="3" t="s">
        <v>29</v>
      </c>
      <c r="AP6" s="3" t="s">
        <v>28</v>
      </c>
      <c r="AQ6" s="3" t="s">
        <v>29</v>
      </c>
      <c r="AR6" s="3" t="s">
        <v>28</v>
      </c>
      <c r="AS6" s="3" t="s">
        <v>29</v>
      </c>
      <c r="AT6" s="3" t="s">
        <v>28</v>
      </c>
      <c r="AU6" s="3" t="s">
        <v>29</v>
      </c>
      <c r="AV6" s="3" t="s">
        <v>28</v>
      </c>
      <c r="AW6" s="3" t="s">
        <v>29</v>
      </c>
      <c r="AX6" s="3" t="s">
        <v>28</v>
      </c>
      <c r="AY6" s="3" t="s">
        <v>29</v>
      </c>
      <c r="AZ6" s="3" t="s">
        <v>28</v>
      </c>
      <c r="BA6" s="3" t="s">
        <v>29</v>
      </c>
      <c r="BB6" s="3" t="s">
        <v>28</v>
      </c>
      <c r="BC6" s="3" t="s">
        <v>29</v>
      </c>
      <c r="BD6" s="3" t="s">
        <v>28</v>
      </c>
      <c r="BE6" s="3" t="s">
        <v>29</v>
      </c>
      <c r="BF6" s="3" t="s">
        <v>28</v>
      </c>
      <c r="BG6" s="3" t="s">
        <v>29</v>
      </c>
      <c r="BH6" s="3" t="s">
        <v>28</v>
      </c>
      <c r="BI6" s="3" t="s">
        <v>29</v>
      </c>
    </row>
    <row r="7" spans="1:138">
      <c r="A7" s="122"/>
      <c r="B7" s="129" t="s">
        <v>318</v>
      </c>
      <c r="C7" s="3"/>
      <c r="D7" s="130">
        <v>100</v>
      </c>
      <c r="E7" s="131"/>
      <c r="F7" s="130">
        <v>31250.95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0">
        <v>832238.94</v>
      </c>
      <c r="AC7" s="132"/>
      <c r="AD7" s="131"/>
      <c r="AE7" s="131"/>
      <c r="AF7" s="131"/>
      <c r="AG7" s="131"/>
      <c r="AH7" s="131"/>
      <c r="AI7" s="131"/>
      <c r="AJ7" s="130">
        <v>12843</v>
      </c>
      <c r="AK7" s="131"/>
      <c r="AL7" s="130">
        <v>950000</v>
      </c>
      <c r="AM7" s="131"/>
      <c r="AN7" s="130">
        <v>112480</v>
      </c>
      <c r="AO7" s="131"/>
      <c r="AP7" s="130">
        <v>5000</v>
      </c>
      <c r="AQ7" s="131"/>
      <c r="AR7" s="131"/>
      <c r="AS7" s="130">
        <v>1118849</v>
      </c>
      <c r="AT7" s="131"/>
      <c r="AU7" s="130">
        <v>680983.96600000001</v>
      </c>
      <c r="AV7" s="131"/>
      <c r="AW7" s="130">
        <v>172170.10399999999</v>
      </c>
      <c r="AX7" s="130">
        <v>9464.18</v>
      </c>
      <c r="AY7" s="131"/>
      <c r="AZ7" s="130">
        <v>2924</v>
      </c>
      <c r="BA7" s="131"/>
      <c r="BB7" s="130">
        <v>702</v>
      </c>
      <c r="BC7" s="131"/>
      <c r="BD7" s="130">
        <v>15000</v>
      </c>
      <c r="BE7" s="131"/>
      <c r="BF7" s="130">
        <v>0</v>
      </c>
      <c r="BG7" s="133"/>
      <c r="BH7" s="130">
        <v>0</v>
      </c>
      <c r="BI7" s="133"/>
      <c r="BJ7" s="113">
        <f>D7-E7+F7-G7+H7-I7+J7-K7+L7-M7+N7-O7+P7-Q7+R7-S7+T7-U7+V7-W7+X7-Y7+Z7-AA7+AB7-AC7+AD7-AE7+AF7-AG7+AH7-AI7+AJ7-AK7+AL7-AM7+AN7-AO7+AP7-AQ7+AR7-AS7+AT7-AU7+AV7-AW7+AX7-AY7+AZ7-BA7+BB7-BC7+BD7-BE7+BF7-BG7+BH7-BI7</f>
        <v>-1.0913936421275139E-10</v>
      </c>
      <c r="BK7" s="41"/>
      <c r="BL7" s="41"/>
    </row>
    <row r="8" spans="1:138">
      <c r="A8" s="162" t="s">
        <v>340</v>
      </c>
      <c r="B8" s="129" t="s">
        <v>278</v>
      </c>
      <c r="C8" s="3">
        <v>1</v>
      </c>
      <c r="D8" s="133"/>
      <c r="E8" s="133"/>
      <c r="F8" s="133"/>
      <c r="G8" s="133"/>
      <c r="H8" s="133"/>
      <c r="I8" s="133"/>
      <c r="J8" s="133">
        <v>12843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>
        <v>12843</v>
      </c>
      <c r="AL8" s="133"/>
      <c r="AM8" s="133"/>
      <c r="AN8" s="133"/>
      <c r="AO8" s="133"/>
      <c r="AP8" s="133"/>
      <c r="AQ8" s="133"/>
      <c r="AS8" s="133"/>
      <c r="AT8" s="133"/>
      <c r="AU8" s="133"/>
      <c r="AV8" s="133"/>
      <c r="AW8" s="133"/>
      <c r="AX8" s="133"/>
      <c r="AY8" s="133"/>
      <c r="BA8" s="133"/>
      <c r="BB8" s="133"/>
      <c r="BC8" s="133"/>
      <c r="BD8" s="133"/>
      <c r="BE8" s="133"/>
      <c r="BF8" s="133"/>
      <c r="BG8" s="133"/>
      <c r="BH8" s="133"/>
      <c r="BI8" s="133"/>
      <c r="BJ8" s="113">
        <f t="shared" ref="BJ8:BJ56" si="0">D8-E8+F8-G8+H8-I8+J8-K8+L8-M8+N8-O8+P8-Q8+R8-S8+T8-U8+V8-W8+X8-Y8+Z8-AA8+AB8-AC8+AD8-AE8+AF8-AG8+AH8-AI8+AJ8-AK8+AL8-AM8+AN8-AO8+AP8-AQ8+AR8-AS8+AT8-AU8+AV8-AW8+AX8-AY8+AZ8-BA8+BB8-BC8+BD8-BE8+BF8-BG8+BH8-BI8</f>
        <v>0</v>
      </c>
      <c r="BK8" s="41"/>
      <c r="BL8" s="41"/>
    </row>
    <row r="9" spans="1:138">
      <c r="A9" s="162" t="s">
        <v>340</v>
      </c>
      <c r="B9" s="129" t="s">
        <v>341</v>
      </c>
      <c r="C9" s="3">
        <v>2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>
        <v>51369</v>
      </c>
      <c r="AS9" s="133"/>
      <c r="AT9" s="133"/>
      <c r="AU9" s="133"/>
      <c r="AV9" s="133"/>
      <c r="AW9" s="133">
        <v>51369</v>
      </c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13">
        <f t="shared" si="0"/>
        <v>0</v>
      </c>
      <c r="BK9" s="41"/>
      <c r="BL9" s="41"/>
    </row>
    <row r="10" spans="1:138">
      <c r="A10" s="170">
        <v>39139</v>
      </c>
      <c r="B10" s="165" t="s">
        <v>345</v>
      </c>
      <c r="C10" s="165">
        <v>3</v>
      </c>
      <c r="D10" s="166"/>
      <c r="E10" s="166"/>
      <c r="F10" s="166">
        <v>300</v>
      </c>
      <c r="G10" s="167"/>
      <c r="H10" s="166"/>
      <c r="I10" s="166"/>
      <c r="J10" s="166"/>
      <c r="K10" s="166"/>
      <c r="L10" s="166"/>
      <c r="M10" s="166"/>
      <c r="N10" s="166"/>
      <c r="O10" s="166"/>
      <c r="P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>
        <v>300</v>
      </c>
      <c r="AB10" s="168"/>
      <c r="AC10" s="169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13">
        <f t="shared" si="0"/>
        <v>0</v>
      </c>
      <c r="BK10" s="41"/>
      <c r="BL10" s="41"/>
    </row>
    <row r="11" spans="1:138">
      <c r="A11" s="163">
        <v>39126</v>
      </c>
      <c r="B11" s="129" t="s">
        <v>347</v>
      </c>
      <c r="C11" s="3">
        <v>4</v>
      </c>
      <c r="D11" s="133"/>
      <c r="E11" s="133"/>
      <c r="F11" s="171">
        <v>15314.5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>
        <v>314.5</v>
      </c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71">
        <v>15000</v>
      </c>
      <c r="BF11" s="133"/>
      <c r="BG11" s="133"/>
      <c r="BH11" s="133"/>
      <c r="BI11" s="133"/>
      <c r="BJ11" s="113">
        <f t="shared" si="0"/>
        <v>0</v>
      </c>
      <c r="BK11" s="41"/>
      <c r="BL11" s="41"/>
    </row>
    <row r="12" spans="1:138">
      <c r="A12" s="163">
        <v>39136</v>
      </c>
      <c r="B12" s="129" t="s">
        <v>348</v>
      </c>
      <c r="C12" s="3">
        <v>5</v>
      </c>
      <c r="D12" s="133"/>
      <c r="E12" s="133"/>
      <c r="F12" s="133">
        <v>702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>
        <v>702</v>
      </c>
      <c r="BD12" s="133"/>
      <c r="BE12" s="133"/>
      <c r="BF12" s="133"/>
      <c r="BG12" s="133"/>
      <c r="BH12" s="133"/>
      <c r="BI12" s="133"/>
      <c r="BJ12" s="113">
        <f t="shared" si="0"/>
        <v>0</v>
      </c>
      <c r="BK12" s="41"/>
      <c r="BL12" s="41"/>
    </row>
    <row r="13" spans="1:138" s="122" customFormat="1">
      <c r="A13" s="163">
        <v>39136</v>
      </c>
      <c r="B13" s="164" t="s">
        <v>349</v>
      </c>
      <c r="C13" s="164">
        <v>6</v>
      </c>
      <c r="F13" s="172">
        <v>2924</v>
      </c>
      <c r="BA13" s="173">
        <v>2924</v>
      </c>
      <c r="BJ13" s="113">
        <f t="shared" si="0"/>
        <v>0</v>
      </c>
      <c r="BK13" s="41"/>
      <c r="BL13" s="41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</row>
    <row r="14" spans="1:138">
      <c r="A14" s="163">
        <v>39173</v>
      </c>
      <c r="B14" s="129" t="s">
        <v>342</v>
      </c>
      <c r="C14" s="3">
        <v>7</v>
      </c>
      <c r="D14" s="133"/>
      <c r="E14" s="133"/>
      <c r="F14" s="133"/>
      <c r="G14" s="133">
        <v>1086</v>
      </c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>
        <v>1086</v>
      </c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13">
        <f t="shared" si="0"/>
        <v>0</v>
      </c>
      <c r="BK14" s="41"/>
      <c r="BL14" s="41"/>
    </row>
    <row r="15" spans="1:138">
      <c r="A15" s="163">
        <v>39173</v>
      </c>
      <c r="B15" s="129" t="s">
        <v>343</v>
      </c>
      <c r="C15" s="3">
        <v>8</v>
      </c>
      <c r="D15" s="133"/>
      <c r="E15" s="133"/>
      <c r="F15" s="133"/>
      <c r="G15" s="133">
        <v>271.60000000000002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>
        <v>271.60000000000002</v>
      </c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13">
        <f t="shared" si="0"/>
        <v>0</v>
      </c>
      <c r="BK15" s="41"/>
      <c r="BL15" s="41"/>
    </row>
    <row r="16" spans="1:138" s="122" customFormat="1">
      <c r="A16" s="163">
        <v>39182</v>
      </c>
      <c r="B16" s="164" t="s">
        <v>344</v>
      </c>
      <c r="C16" s="164">
        <v>9</v>
      </c>
      <c r="G16" s="173">
        <v>1040</v>
      </c>
      <c r="P16" s="173">
        <v>1040</v>
      </c>
      <c r="BJ16" s="113">
        <f t="shared" si="0"/>
        <v>0</v>
      </c>
      <c r="BK16" s="41"/>
      <c r="BL16" s="41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</row>
    <row r="17" spans="1:64">
      <c r="A17" s="170">
        <v>39202</v>
      </c>
      <c r="B17" s="165" t="s">
        <v>375</v>
      </c>
      <c r="C17" s="165">
        <v>10</v>
      </c>
      <c r="D17" s="166"/>
      <c r="E17" s="166"/>
      <c r="F17" s="166"/>
      <c r="G17" s="167">
        <v>0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>
        <v>0</v>
      </c>
      <c r="U17" s="166"/>
      <c r="V17" s="166"/>
      <c r="W17" s="166"/>
      <c r="X17" s="166"/>
      <c r="Y17" s="166"/>
      <c r="Z17" s="166"/>
      <c r="AA17" s="166"/>
      <c r="AB17" s="168"/>
      <c r="AC17" s="169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13">
        <f t="shared" si="0"/>
        <v>0</v>
      </c>
      <c r="BK17" s="41"/>
      <c r="BL17" s="41"/>
    </row>
    <row r="18" spans="1:64">
      <c r="A18" s="170">
        <v>39203</v>
      </c>
      <c r="B18" s="165" t="s">
        <v>350</v>
      </c>
      <c r="C18" s="165">
        <v>11</v>
      </c>
      <c r="D18" s="166"/>
      <c r="E18" s="166"/>
      <c r="F18" s="166"/>
      <c r="G18" s="166">
        <v>3861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>
        <v>3861</v>
      </c>
      <c r="Y18" s="166"/>
      <c r="Z18" s="166"/>
      <c r="AA18" s="166"/>
      <c r="AB18" s="168"/>
      <c r="AC18" s="169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13">
        <f t="shared" si="0"/>
        <v>0</v>
      </c>
      <c r="BK18" s="137"/>
    </row>
    <row r="19" spans="1:64">
      <c r="A19" s="170">
        <v>39217</v>
      </c>
      <c r="B19" s="165" t="s">
        <v>351</v>
      </c>
      <c r="C19" s="165">
        <v>12</v>
      </c>
      <c r="D19" s="166"/>
      <c r="E19" s="166"/>
      <c r="F19" s="166"/>
      <c r="G19" s="167">
        <v>5000</v>
      </c>
      <c r="H19" s="166"/>
      <c r="I19" s="166"/>
      <c r="J19" s="166"/>
      <c r="K19" s="166"/>
      <c r="L19" s="166">
        <v>5000</v>
      </c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8"/>
      <c r="AC19" s="169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13">
        <f t="shared" si="0"/>
        <v>0</v>
      </c>
    </row>
    <row r="20" spans="1:64">
      <c r="A20" s="170">
        <v>39218</v>
      </c>
      <c r="B20" s="165" t="s">
        <v>256</v>
      </c>
      <c r="C20" s="165">
        <v>13</v>
      </c>
      <c r="D20" s="166"/>
      <c r="E20" s="166"/>
      <c r="F20" s="166"/>
      <c r="G20" s="166">
        <v>2500</v>
      </c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>
        <v>2500</v>
      </c>
      <c r="W20" s="166"/>
      <c r="X20" s="166"/>
      <c r="Y20" s="166"/>
      <c r="Z20" s="166"/>
      <c r="AA20" s="166"/>
      <c r="AB20" s="168"/>
      <c r="AC20" s="169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13">
        <f t="shared" si="0"/>
        <v>0</v>
      </c>
    </row>
    <row r="21" spans="1:64">
      <c r="A21" s="170">
        <v>39233</v>
      </c>
      <c r="B21" s="165" t="s">
        <v>345</v>
      </c>
      <c r="C21" s="165">
        <v>14</v>
      </c>
      <c r="D21" s="166"/>
      <c r="E21" s="166"/>
      <c r="F21" s="166">
        <v>2600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>
        <v>2600</v>
      </c>
      <c r="AB21" s="168"/>
      <c r="AC21" s="169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13">
        <f t="shared" si="0"/>
        <v>0</v>
      </c>
    </row>
    <row r="22" spans="1:64">
      <c r="A22" s="170">
        <v>39233</v>
      </c>
      <c r="B22" s="165" t="s">
        <v>375</v>
      </c>
      <c r="C22" s="165">
        <v>15</v>
      </c>
      <c r="D22" s="166"/>
      <c r="E22" s="166"/>
      <c r="F22" s="166"/>
      <c r="G22" s="166">
        <v>0</v>
      </c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>
        <v>0</v>
      </c>
      <c r="U22" s="166"/>
      <c r="V22" s="166"/>
      <c r="W22" s="166"/>
      <c r="X22" s="166"/>
      <c r="Y22" s="166"/>
      <c r="Z22" s="166"/>
      <c r="AA22" s="166"/>
      <c r="AB22" s="168"/>
      <c r="AC22" s="169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13">
        <f t="shared" si="0"/>
        <v>0</v>
      </c>
    </row>
    <row r="23" spans="1:64">
      <c r="A23" s="170">
        <v>39234</v>
      </c>
      <c r="B23" s="165" t="s">
        <v>352</v>
      </c>
      <c r="C23" s="165">
        <v>16</v>
      </c>
      <c r="D23" s="166"/>
      <c r="E23" s="166"/>
      <c r="F23" s="166"/>
      <c r="G23" s="166">
        <v>275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>
        <v>275</v>
      </c>
      <c r="Y23" s="166"/>
      <c r="Z23" s="166"/>
      <c r="AA23" s="166"/>
      <c r="AB23" s="168"/>
      <c r="AC23" s="169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13">
        <f t="shared" si="0"/>
        <v>0</v>
      </c>
    </row>
    <row r="24" spans="1:64">
      <c r="A24" s="170">
        <v>39251</v>
      </c>
      <c r="B24" s="165" t="s">
        <v>353</v>
      </c>
      <c r="C24" s="165">
        <v>17</v>
      </c>
      <c r="D24" s="166"/>
      <c r="E24" s="166"/>
      <c r="F24" s="166"/>
      <c r="G24" s="167">
        <v>200</v>
      </c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>
        <v>200</v>
      </c>
      <c r="AA24" s="166"/>
      <c r="AB24" s="168"/>
      <c r="AC24" s="169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13">
        <f t="shared" si="0"/>
        <v>0</v>
      </c>
      <c r="BK24" s="41"/>
      <c r="BL24" s="41"/>
    </row>
    <row r="25" spans="1:64">
      <c r="A25" s="170">
        <v>39254</v>
      </c>
      <c r="B25" s="129" t="s">
        <v>354</v>
      </c>
      <c r="C25" s="129">
        <v>18</v>
      </c>
      <c r="D25" s="135"/>
      <c r="E25" s="135"/>
      <c r="F25" s="135">
        <v>50</v>
      </c>
      <c r="G25" s="146"/>
      <c r="H25" s="135"/>
      <c r="I25" s="135"/>
      <c r="J25" s="135"/>
      <c r="K25" s="135"/>
      <c r="L25" s="135"/>
      <c r="M25" s="135"/>
      <c r="N25" s="135"/>
      <c r="O25" s="135"/>
      <c r="P25" s="135"/>
      <c r="Q25" s="135">
        <v>50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1"/>
      <c r="AC25" s="132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13">
        <f t="shared" si="0"/>
        <v>0</v>
      </c>
    </row>
    <row r="26" spans="1:64">
      <c r="A26" s="134">
        <v>39263</v>
      </c>
      <c r="B26" s="129" t="s">
        <v>345</v>
      </c>
      <c r="C26" s="129">
        <v>19</v>
      </c>
      <c r="D26" s="135"/>
      <c r="E26" s="135"/>
      <c r="F26" s="135">
        <v>6000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>
        <v>6000</v>
      </c>
      <c r="AB26" s="131"/>
      <c r="AC26" s="132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13">
        <f t="shared" si="0"/>
        <v>0</v>
      </c>
    </row>
    <row r="27" spans="1:64">
      <c r="A27" s="134">
        <v>39263</v>
      </c>
      <c r="B27" s="129" t="s">
        <v>345</v>
      </c>
      <c r="C27" s="129">
        <v>20</v>
      </c>
      <c r="D27" s="135"/>
      <c r="E27" s="135"/>
      <c r="F27" s="135">
        <v>6000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>
        <v>6000</v>
      </c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13">
        <f t="shared" si="0"/>
        <v>0</v>
      </c>
    </row>
    <row r="28" spans="1:64">
      <c r="A28" s="134">
        <v>39263</v>
      </c>
      <c r="B28" s="129" t="s">
        <v>345</v>
      </c>
      <c r="C28" s="129">
        <v>21</v>
      </c>
      <c r="D28" s="135"/>
      <c r="E28" s="135"/>
      <c r="F28" s="135">
        <v>3620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>
        <v>3620</v>
      </c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13">
        <f t="shared" si="0"/>
        <v>0</v>
      </c>
    </row>
    <row r="29" spans="1:64">
      <c r="A29" s="134">
        <v>39263</v>
      </c>
      <c r="B29" s="129" t="s">
        <v>375</v>
      </c>
      <c r="C29" s="129">
        <v>22</v>
      </c>
      <c r="D29" s="135"/>
      <c r="E29" s="135"/>
      <c r="F29" s="135"/>
      <c r="G29" s="135">
        <v>0</v>
      </c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>
        <v>0</v>
      </c>
      <c r="U29" s="135"/>
      <c r="V29" s="135"/>
      <c r="W29" s="135"/>
      <c r="X29" s="135"/>
      <c r="Y29" s="135"/>
      <c r="Z29" s="135"/>
      <c r="AA29" s="135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13">
        <f t="shared" si="0"/>
        <v>0</v>
      </c>
    </row>
    <row r="30" spans="1:64">
      <c r="A30" s="134">
        <v>39294</v>
      </c>
      <c r="B30" s="129" t="s">
        <v>345</v>
      </c>
      <c r="C30" s="129">
        <v>23</v>
      </c>
      <c r="D30" s="135"/>
      <c r="E30" s="135"/>
      <c r="F30" s="135">
        <v>2000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>
        <v>2000</v>
      </c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13">
        <f t="shared" si="0"/>
        <v>0</v>
      </c>
    </row>
    <row r="31" spans="1:64">
      <c r="A31" s="170">
        <v>39296</v>
      </c>
      <c r="B31" s="165" t="s">
        <v>346</v>
      </c>
      <c r="C31" s="165">
        <v>24</v>
      </c>
      <c r="D31" s="166"/>
      <c r="E31" s="166"/>
      <c r="F31" s="166"/>
      <c r="G31" s="167">
        <v>2770</v>
      </c>
      <c r="H31" s="166"/>
      <c r="I31" s="166"/>
      <c r="J31" s="166"/>
      <c r="K31" s="166"/>
      <c r="L31" s="166"/>
      <c r="M31" s="166"/>
      <c r="N31" s="166">
        <v>2770</v>
      </c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8"/>
      <c r="AC31" s="169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13">
        <f t="shared" si="0"/>
        <v>0</v>
      </c>
    </row>
    <row r="32" spans="1:64">
      <c r="A32" s="134">
        <v>39297</v>
      </c>
      <c r="B32" s="129" t="s">
        <v>345</v>
      </c>
      <c r="C32" s="129">
        <v>25</v>
      </c>
      <c r="D32" s="135"/>
      <c r="E32" s="135"/>
      <c r="F32" s="135">
        <v>200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>
        <v>200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13">
        <f t="shared" si="0"/>
        <v>0</v>
      </c>
    </row>
    <row r="33" spans="1:64">
      <c r="A33" s="134">
        <v>39308</v>
      </c>
      <c r="B33" s="129" t="s">
        <v>356</v>
      </c>
      <c r="C33" s="129">
        <v>26</v>
      </c>
      <c r="D33" s="135"/>
      <c r="E33" s="135"/>
      <c r="F33" s="135">
        <v>180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>
        <v>180</v>
      </c>
      <c r="AB33" s="131"/>
      <c r="AC33" s="131"/>
      <c r="AD33" s="131"/>
      <c r="AE33" s="135"/>
      <c r="AF33" s="135"/>
      <c r="AG33" s="135"/>
      <c r="AH33" s="135"/>
      <c r="AI33" s="135"/>
      <c r="AJ33" s="131"/>
      <c r="AK33" s="131"/>
      <c r="AL33" s="131"/>
      <c r="AM33" s="131"/>
      <c r="AN33" s="131"/>
      <c r="AO33" s="131"/>
      <c r="AP33" s="131"/>
      <c r="AQ33" s="131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13">
        <f t="shared" si="0"/>
        <v>0</v>
      </c>
    </row>
    <row r="34" spans="1:64">
      <c r="A34" s="134">
        <v>39309</v>
      </c>
      <c r="B34" s="129" t="s">
        <v>345</v>
      </c>
      <c r="C34" s="129">
        <v>27</v>
      </c>
      <c r="D34" s="135"/>
      <c r="E34" s="135"/>
      <c r="F34" s="135">
        <v>200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>
        <v>200</v>
      </c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13">
        <f t="shared" si="0"/>
        <v>0</v>
      </c>
      <c r="BK34" s="41"/>
      <c r="BL34" s="41"/>
    </row>
    <row r="35" spans="1:64">
      <c r="A35" s="134">
        <v>39305</v>
      </c>
      <c r="B35" s="129" t="s">
        <v>357</v>
      </c>
      <c r="C35" s="129">
        <v>28</v>
      </c>
      <c r="D35" s="135"/>
      <c r="E35" s="135"/>
      <c r="F35" s="135"/>
      <c r="G35" s="135">
        <v>1359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>
        <v>1359</v>
      </c>
      <c r="U35" s="135"/>
      <c r="V35" s="135"/>
      <c r="W35" s="135"/>
      <c r="X35" s="135"/>
      <c r="Y35" s="135"/>
      <c r="Z35" s="135"/>
      <c r="AA35" s="135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13">
        <f t="shared" si="0"/>
        <v>0</v>
      </c>
    </row>
    <row r="36" spans="1:64">
      <c r="A36" s="134">
        <v>39323</v>
      </c>
      <c r="B36" s="129" t="s">
        <v>345</v>
      </c>
      <c r="C36" s="129">
        <v>29</v>
      </c>
      <c r="D36" s="135"/>
      <c r="E36" s="135"/>
      <c r="F36" s="135">
        <v>200</v>
      </c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>
        <v>200</v>
      </c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13">
        <f t="shared" si="0"/>
        <v>0</v>
      </c>
    </row>
    <row r="37" spans="1:64">
      <c r="A37" s="134">
        <v>39342</v>
      </c>
      <c r="B37" s="129" t="s">
        <v>345</v>
      </c>
      <c r="C37" s="129">
        <v>30</v>
      </c>
      <c r="D37" s="135"/>
      <c r="E37" s="135"/>
      <c r="F37" s="135">
        <v>200</v>
      </c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>
        <v>200</v>
      </c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13">
        <f t="shared" si="0"/>
        <v>0</v>
      </c>
    </row>
    <row r="38" spans="1:64">
      <c r="A38" s="134">
        <v>39350</v>
      </c>
      <c r="B38" s="129" t="s">
        <v>345</v>
      </c>
      <c r="C38" s="129">
        <v>31</v>
      </c>
      <c r="D38" s="135"/>
      <c r="E38" s="135"/>
      <c r="F38" s="135">
        <v>500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>
        <v>500</v>
      </c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13">
        <f t="shared" si="0"/>
        <v>0</v>
      </c>
    </row>
    <row r="39" spans="1:64">
      <c r="A39" s="134">
        <v>39370</v>
      </c>
      <c r="B39" s="129" t="s">
        <v>345</v>
      </c>
      <c r="C39" s="129">
        <v>32</v>
      </c>
      <c r="D39" s="135"/>
      <c r="E39" s="135"/>
      <c r="F39" s="135">
        <v>200</v>
      </c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>
        <v>200</v>
      </c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13">
        <f t="shared" si="0"/>
        <v>0</v>
      </c>
    </row>
    <row r="40" spans="1:64">
      <c r="A40" s="134">
        <v>39356</v>
      </c>
      <c r="B40" s="129" t="s">
        <v>358</v>
      </c>
      <c r="C40" s="129">
        <v>33</v>
      </c>
      <c r="D40" s="135"/>
      <c r="E40" s="135"/>
      <c r="F40" s="135"/>
      <c r="G40" s="135">
        <v>1086</v>
      </c>
      <c r="H40" s="135"/>
      <c r="I40" s="123"/>
      <c r="J40" s="122"/>
      <c r="K40" s="31"/>
      <c r="L40" s="122"/>
      <c r="M40" s="31"/>
      <c r="N40" s="122"/>
      <c r="O40" s="31"/>
      <c r="P40" s="122"/>
      <c r="Q40" s="31"/>
      <c r="R40" s="122">
        <v>1086</v>
      </c>
      <c r="S40" s="31"/>
      <c r="T40" s="122"/>
      <c r="U40" s="31"/>
      <c r="V40" s="122"/>
      <c r="W40" s="31"/>
      <c r="X40" s="122"/>
      <c r="Y40" s="31"/>
      <c r="Z40" s="135"/>
      <c r="AA40" s="135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13">
        <f t="shared" si="0"/>
        <v>0</v>
      </c>
    </row>
    <row r="41" spans="1:64">
      <c r="A41" s="134">
        <v>39394</v>
      </c>
      <c r="B41" s="129" t="s">
        <v>360</v>
      </c>
      <c r="C41" s="129">
        <v>34</v>
      </c>
      <c r="D41" s="135"/>
      <c r="E41" s="135"/>
      <c r="F41" s="135"/>
      <c r="G41" s="135">
        <v>5000</v>
      </c>
      <c r="H41" s="135">
        <v>5000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13">
        <f t="shared" si="0"/>
        <v>0</v>
      </c>
    </row>
    <row r="42" spans="1:64">
      <c r="A42" s="139">
        <v>39397</v>
      </c>
      <c r="B42" s="129" t="s">
        <v>370</v>
      </c>
      <c r="C42" s="129">
        <v>35</v>
      </c>
      <c r="D42" s="135"/>
      <c r="E42" s="135"/>
      <c r="F42" s="135"/>
      <c r="G42" s="135">
        <v>310.5</v>
      </c>
      <c r="H42" s="135"/>
      <c r="I42" s="135"/>
      <c r="J42" s="135"/>
      <c r="K42" s="135"/>
      <c r="L42" s="135"/>
      <c r="M42" s="135"/>
      <c r="N42" s="135">
        <v>120.5</v>
      </c>
      <c r="O42" s="135"/>
      <c r="P42" s="135"/>
      <c r="Q42" s="135"/>
      <c r="R42" s="135"/>
      <c r="S42" s="135"/>
      <c r="T42" s="135">
        <v>190</v>
      </c>
      <c r="U42" s="135"/>
      <c r="V42" s="135"/>
      <c r="W42" s="135"/>
      <c r="X42" s="135"/>
      <c r="Y42" s="135"/>
      <c r="Z42" s="135"/>
      <c r="AA42" s="135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13">
        <f t="shared" si="0"/>
        <v>0</v>
      </c>
    </row>
    <row r="43" spans="1:64">
      <c r="A43" s="134">
        <v>39401</v>
      </c>
      <c r="B43" s="129" t="s">
        <v>345</v>
      </c>
      <c r="C43" s="129">
        <v>36</v>
      </c>
      <c r="D43" s="135"/>
      <c r="E43" s="135"/>
      <c r="F43" s="135">
        <v>400</v>
      </c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>
        <v>400</v>
      </c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13">
        <f t="shared" si="0"/>
        <v>0</v>
      </c>
    </row>
    <row r="44" spans="1:64">
      <c r="A44" s="134">
        <v>39414</v>
      </c>
      <c r="B44" s="129" t="s">
        <v>345</v>
      </c>
      <c r="C44" s="129">
        <v>37</v>
      </c>
      <c r="D44" s="135"/>
      <c r="E44" s="135"/>
      <c r="F44" s="135">
        <v>200</v>
      </c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>
        <v>200</v>
      </c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13">
        <f t="shared" si="0"/>
        <v>0</v>
      </c>
    </row>
    <row r="45" spans="1:64">
      <c r="A45" s="134">
        <v>39438</v>
      </c>
      <c r="B45" s="129" t="s">
        <v>372</v>
      </c>
      <c r="C45" s="129">
        <v>38</v>
      </c>
      <c r="D45" s="135"/>
      <c r="E45" s="135"/>
      <c r="F45" s="135"/>
      <c r="G45" s="135">
        <v>629.79999999999995</v>
      </c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>
        <v>629.79999999999995</v>
      </c>
      <c r="BC45" s="136"/>
      <c r="BD45" s="136"/>
      <c r="BE45" s="136"/>
      <c r="BF45" s="136"/>
      <c r="BG45" s="136"/>
      <c r="BH45" s="136"/>
      <c r="BI45" s="136"/>
      <c r="BJ45" s="113">
        <f t="shared" si="0"/>
        <v>0</v>
      </c>
    </row>
    <row r="46" spans="1:64">
      <c r="A46" s="134">
        <v>39438</v>
      </c>
      <c r="B46" s="129" t="s">
        <v>373</v>
      </c>
      <c r="C46" s="129">
        <v>39</v>
      </c>
      <c r="D46" s="135"/>
      <c r="E46" s="135"/>
      <c r="F46" s="135"/>
      <c r="G46" s="135">
        <v>598</v>
      </c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>
        <v>598</v>
      </c>
      <c r="BC46" s="136"/>
      <c r="BD46" s="136"/>
      <c r="BE46" s="136"/>
      <c r="BF46" s="136"/>
      <c r="BG46" s="136"/>
      <c r="BH46" s="136"/>
      <c r="BI46" s="136"/>
      <c r="BJ46" s="113">
        <f t="shared" si="0"/>
        <v>0</v>
      </c>
    </row>
    <row r="47" spans="1:64">
      <c r="A47" s="134">
        <v>39447</v>
      </c>
      <c r="B47" s="129" t="s">
        <v>345</v>
      </c>
      <c r="C47" s="129">
        <v>40</v>
      </c>
      <c r="D47" s="135"/>
      <c r="E47" s="135"/>
      <c r="F47" s="135">
        <v>200</v>
      </c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>
        <v>200</v>
      </c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13">
        <f t="shared" si="0"/>
        <v>0</v>
      </c>
    </row>
    <row r="48" spans="1:64">
      <c r="A48" s="134">
        <v>39447</v>
      </c>
      <c r="B48" s="129" t="s">
        <v>361</v>
      </c>
      <c r="C48" s="129">
        <v>41</v>
      </c>
      <c r="D48" s="135"/>
      <c r="E48" s="135"/>
      <c r="F48" s="135">
        <v>61.63</v>
      </c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1"/>
      <c r="AC48" s="131"/>
      <c r="AD48" s="131"/>
      <c r="AE48" s="131"/>
      <c r="AF48" s="131"/>
      <c r="AG48" s="131">
        <v>61.63</v>
      </c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13">
        <f t="shared" si="0"/>
        <v>0</v>
      </c>
    </row>
    <row r="49" spans="1:63">
      <c r="A49" s="134">
        <v>39447</v>
      </c>
      <c r="B49" s="129" t="s">
        <v>364</v>
      </c>
      <c r="C49" s="129">
        <v>42</v>
      </c>
      <c r="D49" s="135"/>
      <c r="E49" s="135"/>
      <c r="F49" s="135"/>
      <c r="G49" s="135">
        <v>210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>
        <v>210</v>
      </c>
      <c r="U49" s="135"/>
      <c r="V49" s="135"/>
      <c r="W49" s="135"/>
      <c r="X49" s="135"/>
      <c r="Y49" s="135"/>
      <c r="Z49" s="135"/>
      <c r="AA49" s="135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13">
        <f t="shared" si="0"/>
        <v>0</v>
      </c>
    </row>
    <row r="50" spans="1:63">
      <c r="A50" s="134">
        <v>39447</v>
      </c>
      <c r="B50" s="129" t="s">
        <v>363</v>
      </c>
      <c r="C50" s="129">
        <v>43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1">
        <v>35724</v>
      </c>
      <c r="AC50" s="131"/>
      <c r="AD50" s="131"/>
      <c r="AE50" s="131">
        <v>35724</v>
      </c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13">
        <f t="shared" si="0"/>
        <v>0</v>
      </c>
    </row>
    <row r="51" spans="1:63">
      <c r="A51" s="134">
        <v>39447</v>
      </c>
      <c r="B51" s="129" t="s">
        <v>362</v>
      </c>
      <c r="C51" s="129">
        <v>44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>
        <v>3500</v>
      </c>
      <c r="BC51" s="136"/>
      <c r="BD51" s="136"/>
      <c r="BE51" s="136"/>
      <c r="BF51" s="136"/>
      <c r="BG51" s="136">
        <v>3500</v>
      </c>
      <c r="BH51" s="136"/>
      <c r="BI51" s="136"/>
      <c r="BJ51" s="113">
        <f t="shared" si="0"/>
        <v>0</v>
      </c>
    </row>
    <row r="52" spans="1:63">
      <c r="A52" s="134">
        <v>39447</v>
      </c>
      <c r="B52" s="165" t="s">
        <v>367</v>
      </c>
      <c r="C52" s="129">
        <v>45</v>
      </c>
      <c r="D52" s="135"/>
      <c r="E52" s="135"/>
      <c r="F52" s="135"/>
      <c r="G52" s="135"/>
      <c r="H52" s="135"/>
      <c r="I52" s="135"/>
      <c r="J52" s="135"/>
      <c r="K52" s="135"/>
      <c r="L52" s="135">
        <v>4420</v>
      </c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6"/>
      <c r="AS52" s="136"/>
      <c r="AT52" s="136"/>
      <c r="AU52" s="136"/>
      <c r="AV52" s="136"/>
      <c r="AW52" s="136"/>
      <c r="AY52" s="135">
        <v>4420</v>
      </c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13">
        <f t="shared" si="0"/>
        <v>0</v>
      </c>
    </row>
    <row r="53" spans="1:63">
      <c r="A53" s="134"/>
      <c r="B53" s="165"/>
      <c r="C53" s="129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6"/>
      <c r="AS53" s="136"/>
      <c r="AT53" s="136"/>
      <c r="AU53" s="136"/>
      <c r="AV53" s="136"/>
      <c r="AW53" s="136"/>
      <c r="AY53" s="135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13">
        <f t="shared" si="0"/>
        <v>0</v>
      </c>
    </row>
    <row r="54" spans="1:63">
      <c r="A54" s="134" t="s">
        <v>359</v>
      </c>
      <c r="B54" s="129" t="s">
        <v>359</v>
      </c>
      <c r="C54" s="129" t="s">
        <v>359</v>
      </c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13">
        <f t="shared" si="0"/>
        <v>0</v>
      </c>
    </row>
    <row r="55" spans="1:63">
      <c r="A55" s="140"/>
      <c r="B55" s="45" t="s">
        <v>41</v>
      </c>
      <c r="C55" s="45"/>
      <c r="D55" s="141">
        <f>SUM(D7:D54)</f>
        <v>100</v>
      </c>
      <c r="E55" s="141"/>
      <c r="F55" s="141">
        <f>SUM(F7:F54)</f>
        <v>73303.08</v>
      </c>
      <c r="G55" s="141"/>
      <c r="H55" s="141">
        <f>SUM(H7:H54)</f>
        <v>5000</v>
      </c>
      <c r="I55" s="141"/>
      <c r="J55" s="141">
        <f>SUM(J7:J54)</f>
        <v>12843</v>
      </c>
      <c r="K55" s="141"/>
      <c r="L55" s="141">
        <f>SUM(L7:L54)</f>
        <v>9420</v>
      </c>
      <c r="M55" s="141"/>
      <c r="N55" s="141">
        <f>SUM(N7:N54)</f>
        <v>2890.5</v>
      </c>
      <c r="O55" s="141"/>
      <c r="P55" s="141">
        <f>SUM(P7:P54)</f>
        <v>1040</v>
      </c>
      <c r="Q55" s="141"/>
      <c r="R55" s="141">
        <f>SUM(R7:R54)</f>
        <v>2172</v>
      </c>
      <c r="S55" s="141"/>
      <c r="T55" s="141">
        <f>SUM(T7:T54)</f>
        <v>2030.6</v>
      </c>
      <c r="U55" s="141"/>
      <c r="V55" s="141">
        <f>SUM(V7:V54)</f>
        <v>2500</v>
      </c>
      <c r="W55" s="141"/>
      <c r="X55" s="141">
        <f>SUM(X7:X54)</f>
        <v>4136</v>
      </c>
      <c r="Y55" s="141"/>
      <c r="Z55" s="141">
        <f>SUM(Z7:Z54)</f>
        <v>200</v>
      </c>
      <c r="AA55" s="141"/>
      <c r="AB55" s="141">
        <f>SUM(AB7:AB54)</f>
        <v>867962.94</v>
      </c>
      <c r="AC55" s="141"/>
      <c r="AD55" s="141">
        <f>SUM(AD7:AD54)</f>
        <v>0</v>
      </c>
      <c r="AE55" s="141"/>
      <c r="AF55" s="141">
        <f>SUM(AF7:AF54)</f>
        <v>0</v>
      </c>
      <c r="AG55" s="141"/>
      <c r="AH55" s="141">
        <f>SUM(AH7:AH54)</f>
        <v>0</v>
      </c>
      <c r="AI55" s="141"/>
      <c r="AJ55" s="141">
        <f>SUM(AJ7:AJ54)</f>
        <v>12843</v>
      </c>
      <c r="AK55" s="141"/>
      <c r="AL55" s="141">
        <f>SUM(AL7:AL54)</f>
        <v>950000</v>
      </c>
      <c r="AM55" s="141"/>
      <c r="AN55" s="141">
        <f>SUM(AN7:AN54)</f>
        <v>112480</v>
      </c>
      <c r="AO55" s="141"/>
      <c r="AP55" s="141">
        <f>SUM(AP7:AP54)</f>
        <v>5000</v>
      </c>
      <c r="AQ55" s="141"/>
      <c r="AR55" s="141">
        <f>SUM(AR7:AR54)</f>
        <v>51369</v>
      </c>
      <c r="AS55" s="141"/>
      <c r="AT55" s="141">
        <f>SUM(AT7:AT54)</f>
        <v>0</v>
      </c>
      <c r="AU55" s="141"/>
      <c r="AV55" s="141">
        <f>SUM(AV7:AV54)</f>
        <v>0</v>
      </c>
      <c r="AW55" s="141"/>
      <c r="AX55" s="141">
        <f>SUM(AX7:AX54)</f>
        <v>9464.18</v>
      </c>
      <c r="AY55" s="141"/>
      <c r="AZ55" s="141">
        <f>SUM(AZ7:AZ54)</f>
        <v>2924</v>
      </c>
      <c r="BA55" s="141"/>
      <c r="BB55" s="141">
        <f>SUM(BB7:BB54)</f>
        <v>5429.8</v>
      </c>
      <c r="BC55" s="141"/>
      <c r="BD55" s="141">
        <f>SUM(BD7:BD54)</f>
        <v>15000</v>
      </c>
      <c r="BE55" s="141"/>
      <c r="BF55" s="141">
        <f>SUM(BF7:BF54)</f>
        <v>0</v>
      </c>
      <c r="BG55" s="141"/>
      <c r="BH55" s="141">
        <f>SUM(BH7:BH54)</f>
        <v>0</v>
      </c>
      <c r="BI55" s="141"/>
      <c r="BJ55" s="113">
        <f t="shared" si="0"/>
        <v>2148108.1</v>
      </c>
      <c r="BK55" t="s">
        <v>28</v>
      </c>
    </row>
    <row r="56" spans="1:63">
      <c r="A56" s="140"/>
      <c r="B56" s="20" t="s">
        <v>42</v>
      </c>
      <c r="C56" s="20"/>
      <c r="D56" s="142"/>
      <c r="E56" s="142">
        <f>SUM(E7:E54)</f>
        <v>0</v>
      </c>
      <c r="F56" s="142"/>
      <c r="G56" s="142">
        <f>SUM(G7:G54)</f>
        <v>26196.899999999998</v>
      </c>
      <c r="H56" s="142"/>
      <c r="I56" s="142">
        <f>SUM(I7:I54)</f>
        <v>0</v>
      </c>
      <c r="J56" s="142"/>
      <c r="K56" s="142">
        <f>SUM(K7:K54)</f>
        <v>0</v>
      </c>
      <c r="L56" s="142"/>
      <c r="M56" s="142">
        <f>SUM(M7:M54)</f>
        <v>0</v>
      </c>
      <c r="N56" s="142"/>
      <c r="O56" s="142">
        <f>SUM(O7:O54)</f>
        <v>0</v>
      </c>
      <c r="P56" s="142"/>
      <c r="Q56" s="142">
        <f>SUM(Q7:Q54)</f>
        <v>50</v>
      </c>
      <c r="R56" s="142"/>
      <c r="S56" s="142">
        <f>SUM(S7:S54)</f>
        <v>0</v>
      </c>
      <c r="T56" s="142"/>
      <c r="U56" s="142">
        <f>SUM(U7:U54)</f>
        <v>0</v>
      </c>
      <c r="V56" s="142"/>
      <c r="W56" s="142">
        <f>SUM(W7:W54)</f>
        <v>0</v>
      </c>
      <c r="X56" s="142"/>
      <c r="Y56" s="142">
        <f>SUM(Y7:Y54)</f>
        <v>0</v>
      </c>
      <c r="Z56" s="142"/>
      <c r="AA56" s="142">
        <f>SUM(AA7:AA54)</f>
        <v>23000</v>
      </c>
      <c r="AB56" s="142"/>
      <c r="AC56" s="142">
        <f>SUM(AC7:AC54)</f>
        <v>0</v>
      </c>
      <c r="AD56" s="142"/>
      <c r="AE56" s="142">
        <f>SUM(AE7:AE54)</f>
        <v>35724</v>
      </c>
      <c r="AF56" s="142"/>
      <c r="AG56" s="142">
        <f>SUM(AG7:AG54)</f>
        <v>61.63</v>
      </c>
      <c r="AH56" s="142"/>
      <c r="AI56" s="142">
        <f>SUM(AI7:AI54)</f>
        <v>314.5</v>
      </c>
      <c r="AJ56" s="142"/>
      <c r="AK56" s="142">
        <f>SUM(AK7:AK54)</f>
        <v>12843</v>
      </c>
      <c r="AL56" s="142"/>
      <c r="AM56" s="142">
        <f>SUM(AM7:AM54)</f>
        <v>0</v>
      </c>
      <c r="AN56" s="142"/>
      <c r="AO56" s="142">
        <f>SUM(AO7:AO54)</f>
        <v>0</v>
      </c>
      <c r="AP56" s="142"/>
      <c r="AQ56" s="142">
        <f>SUM(AQ7:AQ54)</f>
        <v>0</v>
      </c>
      <c r="AR56" s="142"/>
      <c r="AS56" s="142">
        <f>SUM(AS7:AS54)</f>
        <v>1118849</v>
      </c>
      <c r="AT56" s="142"/>
      <c r="AU56" s="142">
        <f>SUM(AU7:AU54)</f>
        <v>680983.96600000001</v>
      </c>
      <c r="AV56" s="142"/>
      <c r="AW56" s="142">
        <f>SUM(AW7:AW54)</f>
        <v>223539.10399999999</v>
      </c>
      <c r="AX56" s="142"/>
      <c r="AY56" s="142">
        <f>SUM(AY7:AY54)</f>
        <v>4420</v>
      </c>
      <c r="AZ56" s="142"/>
      <c r="BA56" s="142">
        <f>SUM(BA7:BA54)</f>
        <v>2924</v>
      </c>
      <c r="BB56" s="142"/>
      <c r="BC56" s="142">
        <f>SUM(BC7:BC54)</f>
        <v>702</v>
      </c>
      <c r="BD56" s="142"/>
      <c r="BE56" s="142">
        <f>SUM(BE7:BE54)</f>
        <v>15000</v>
      </c>
      <c r="BF56" s="142"/>
      <c r="BG56" s="142">
        <f>SUM(BG7:BG54)</f>
        <v>3500</v>
      </c>
      <c r="BH56" s="142"/>
      <c r="BI56" s="142">
        <f>SUM(BI7:BI54)</f>
        <v>0</v>
      </c>
      <c r="BJ56" s="113">
        <f t="shared" si="0"/>
        <v>-2148108.1</v>
      </c>
      <c r="BK56" s="79" t="s">
        <v>29</v>
      </c>
    </row>
    <row r="57" spans="1:63">
      <c r="A57" s="140"/>
      <c r="B57" s="157" t="s">
        <v>197</v>
      </c>
      <c r="C57" s="20"/>
      <c r="D57" s="143">
        <f>IF(D55&gt;=E56,D55-E56,"")</f>
        <v>100</v>
      </c>
      <c r="E57" s="143" t="str">
        <f>IF(D55&lt;E56,E56-D55,"")</f>
        <v/>
      </c>
      <c r="F57" s="143">
        <f>IF(F55&gt;=G56,F55-G56,"")</f>
        <v>47106.180000000008</v>
      </c>
      <c r="G57" s="143" t="str">
        <f>IF(F55&lt;G56,G56-F55,"")</f>
        <v/>
      </c>
      <c r="H57" s="143">
        <f>IF(H55&gt;=I56,H55-I56,"")</f>
        <v>5000</v>
      </c>
      <c r="I57" s="143" t="str">
        <f>IF(H55&lt;I56,I56-H55,"")</f>
        <v/>
      </c>
      <c r="J57" s="143">
        <f>IF(J55&gt;=K56,J55-K56,"")</f>
        <v>12843</v>
      </c>
      <c r="K57" s="143" t="str">
        <f>IF(J55&lt;K56,K56-J55,"")</f>
        <v/>
      </c>
      <c r="L57" s="143">
        <f>IF(L55&gt;=M56,L55-M56,"")</f>
        <v>9420</v>
      </c>
      <c r="M57" s="143" t="str">
        <f>IF(L55&lt;M56,M56-L55,"")</f>
        <v/>
      </c>
      <c r="N57" s="143">
        <f>IF(N55&gt;=O56,N55-O56,"")</f>
        <v>2890.5</v>
      </c>
      <c r="O57" s="143" t="str">
        <f>IF(N55&lt;O56,O56-N55,"")</f>
        <v/>
      </c>
      <c r="P57" s="143">
        <f>IF(P55&gt;=Q56,P55-Q56,"")</f>
        <v>990</v>
      </c>
      <c r="Q57" s="143" t="str">
        <f>IF(P55&lt;Q56,Q56-P55,"")</f>
        <v/>
      </c>
      <c r="R57" s="143">
        <f>IF(R55&gt;=S56,R55-S56,"")</f>
        <v>2172</v>
      </c>
      <c r="S57" s="143" t="str">
        <f>IF(R55&lt;S56,S56-R55,"")</f>
        <v/>
      </c>
      <c r="T57" s="143">
        <f>IF(T55&gt;=U56,T55-U56,"")</f>
        <v>2030.6</v>
      </c>
      <c r="U57" s="143" t="str">
        <f>IF(T55&lt;U56,U56-T55,"")</f>
        <v/>
      </c>
      <c r="V57" s="143">
        <f>IF(V55&gt;=W56,V55-W56,"")</f>
        <v>2500</v>
      </c>
      <c r="W57" s="143" t="str">
        <f>IF(V55&lt;W56,W56-V55,"")</f>
        <v/>
      </c>
      <c r="X57" s="143">
        <f>IF(X55&gt;=Y56,X55-Y56,"")</f>
        <v>4136</v>
      </c>
      <c r="Y57" s="143" t="str">
        <f>IF(X55&lt;Y56,Y56-X55,"")</f>
        <v/>
      </c>
      <c r="Z57" s="143" t="str">
        <f>IF(Z55&gt;=AA56,Z55-AA56,"")</f>
        <v/>
      </c>
      <c r="AA57" s="143">
        <f>IF(Z55&lt;AA56,AA56-Z55,"")</f>
        <v>22800</v>
      </c>
      <c r="AB57" s="143">
        <f>IF(AB55&gt;=AC56,AB55-AC56,"")</f>
        <v>867962.94</v>
      </c>
      <c r="AC57" s="143" t="str">
        <f>IF(AB55&lt;AC56,AC56-AB55,"")</f>
        <v/>
      </c>
      <c r="AD57" s="143" t="str">
        <f>IF(AD55&gt;=AE56,AD55-AE56,"")</f>
        <v/>
      </c>
      <c r="AE57" s="143">
        <f>IF(AD55&lt;AE56,AE56-AD55,"")</f>
        <v>35724</v>
      </c>
      <c r="AF57" s="143" t="str">
        <f>IF(AF55&gt;=AG56,AF55-AG56,"")</f>
        <v/>
      </c>
      <c r="AG57" s="143">
        <f>IF(AF55&lt;AG56,AG56-AF55,"")</f>
        <v>61.63</v>
      </c>
      <c r="AH57" s="143" t="str">
        <f>IF(AH55&gt;=AI56,AH55-AI56,"")</f>
        <v/>
      </c>
      <c r="AI57" s="143">
        <f>IF(AH55&lt;AI56,AI56-AH55,"")</f>
        <v>314.5</v>
      </c>
      <c r="AJ57" s="143">
        <f>IF(AJ55&gt;=AK56,AJ55-AK56,"")</f>
        <v>0</v>
      </c>
      <c r="AK57" s="143" t="str">
        <f>IF(AJ55&lt;AK56,AK56-AJ55,"")</f>
        <v/>
      </c>
      <c r="AL57" s="143">
        <f>IF(AL55&gt;=AM56,AL55-AM56,"")</f>
        <v>950000</v>
      </c>
      <c r="AM57" s="143" t="str">
        <f>IF(AL55&lt;AM56,AM56-AL55,"")</f>
        <v/>
      </c>
      <c r="AN57" s="143">
        <f>IF(AN55&gt;=AO56,AN55-AO56,"")</f>
        <v>112480</v>
      </c>
      <c r="AO57" s="143" t="str">
        <f>IF(AN55&lt;AO56,AO56-AN55,"")</f>
        <v/>
      </c>
      <c r="AP57" s="143">
        <f>IF(AP55&gt;=AQ56,AP55-AQ56,"")</f>
        <v>5000</v>
      </c>
      <c r="AQ57" s="143" t="str">
        <f>IF(AP55&lt;AQ56,AQ56-AP55,"")</f>
        <v/>
      </c>
      <c r="AR57" s="143" t="str">
        <f>IF(AR55&gt;=AS56,AR55-AS56,"")</f>
        <v/>
      </c>
      <c r="AS57" s="143">
        <f>IF(AR55&lt;AS56,AS56-AR55,"")</f>
        <v>1067480</v>
      </c>
      <c r="AT57" s="143" t="str">
        <f>IF(AT55&gt;=AU56,AT55-AU56,"")</f>
        <v/>
      </c>
      <c r="AU57" s="143">
        <f>IF(AT55&lt;AU56,AU56-AT55,"")</f>
        <v>680983.96600000001</v>
      </c>
      <c r="AV57" s="143" t="str">
        <f>IF(AV55&gt;=AW56,AV55-AW56,"")</f>
        <v/>
      </c>
      <c r="AW57" s="143">
        <f>IF(AV55&lt;AW56,AW56-AV55,"")</f>
        <v>223539.10399999999</v>
      </c>
      <c r="AX57" s="143">
        <f>IF(AX55&gt;=AY56,AX55-AY56,"")</f>
        <v>5044.18</v>
      </c>
      <c r="AY57" s="143" t="str">
        <f>IF(AX55&lt;AY56,AY56-AX55,"")</f>
        <v/>
      </c>
      <c r="AZ57" s="143">
        <f>IF(AZ55&gt;=BA56,AZ55-BA56,"")</f>
        <v>0</v>
      </c>
      <c r="BA57" s="143" t="str">
        <f>IF(AZ55&lt;BA56,BA56-AZ55,"")</f>
        <v/>
      </c>
      <c r="BB57" s="143">
        <f>IF(BB55&gt;=BC56,BB55-BC56,"")</f>
        <v>4727.8</v>
      </c>
      <c r="BC57" s="143" t="str">
        <f>IF(BB55&lt;BC56,BC56-BB55,"")</f>
        <v/>
      </c>
      <c r="BD57" s="143">
        <f>IF(BD55&gt;=BE56,BD55-BE56,"")</f>
        <v>0</v>
      </c>
      <c r="BE57" s="143" t="str">
        <f>IF(BD55&lt;BE56,BE56-BD55,"")</f>
        <v/>
      </c>
      <c r="BF57" s="143" t="str">
        <f>IF(BF55&gt;=BG56,BF55-BG56,"")</f>
        <v/>
      </c>
      <c r="BG57" s="143">
        <f>IF(BF55&lt;BG56,BG56-BF55,"")</f>
        <v>3500</v>
      </c>
      <c r="BH57" s="143">
        <f>IF(BH55&gt;=BI56,BH55-BI56,"")</f>
        <v>0</v>
      </c>
      <c r="BI57" s="143" t="str">
        <f>IF(BH55&lt;BI56,BI56-BH55,"")</f>
        <v/>
      </c>
      <c r="BJ57" s="113">
        <f>-AA57-AE57-AG57-AI57+H57+J57+L57+N57+P57+R57+T57+V57+X57</f>
        <v>-16918.03</v>
      </c>
    </row>
    <row r="58" spans="1:63">
      <c r="B58" s="61" t="s">
        <v>172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42"/>
      <c r="AB58" s="142"/>
      <c r="AC58" s="142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U58" s="143">
        <v>7157.03</v>
      </c>
      <c r="AW58" s="143">
        <v>9761</v>
      </c>
      <c r="BJ58" s="113">
        <f>-AU58-AW58</f>
        <v>-16918.03</v>
      </c>
    </row>
    <row r="59" spans="1:63">
      <c r="B59" s="20" t="s">
        <v>383</v>
      </c>
      <c r="C59" s="31"/>
      <c r="D59" s="143">
        <f>D57+D58</f>
        <v>100</v>
      </c>
      <c r="E59" s="143"/>
      <c r="F59" s="143">
        <f>F57+F58</f>
        <v>47106.180000000008</v>
      </c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>
        <f>AB57+AB58</f>
        <v>867962.94</v>
      </c>
      <c r="AC59" s="143"/>
      <c r="AD59" s="143"/>
      <c r="AE59" s="143"/>
      <c r="AF59" s="143"/>
      <c r="AG59" s="143"/>
      <c r="AH59" s="143"/>
      <c r="AI59" s="143"/>
      <c r="AJ59" s="143">
        <f>AJ57+AJ58</f>
        <v>0</v>
      </c>
      <c r="AK59" s="143"/>
      <c r="AL59" s="143">
        <f>AL57+AL58</f>
        <v>950000</v>
      </c>
      <c r="AM59" s="143"/>
      <c r="AN59" s="143">
        <f>AN57+AN58</f>
        <v>112480</v>
      </c>
      <c r="AO59" s="143"/>
      <c r="AP59" s="143">
        <f>AP57+AP58</f>
        <v>5000</v>
      </c>
      <c r="AQ59" s="143"/>
      <c r="AR59" s="143"/>
      <c r="AS59" s="143">
        <f>AS57+AS58</f>
        <v>1067480</v>
      </c>
      <c r="AT59" s="143"/>
      <c r="AU59" s="143">
        <f>AU57+AU58</f>
        <v>688140.99600000004</v>
      </c>
      <c r="AV59" s="143"/>
      <c r="AW59" s="143">
        <f>AW57+AW58</f>
        <v>233300.10399999999</v>
      </c>
      <c r="AX59" s="143">
        <f>AX57+AX58</f>
        <v>5044.18</v>
      </c>
      <c r="AY59" s="143"/>
      <c r="AZ59" s="143">
        <f>AZ57+AZ58</f>
        <v>0</v>
      </c>
      <c r="BA59" s="143"/>
      <c r="BB59" s="143">
        <f>BB57+BB58</f>
        <v>4727.8</v>
      </c>
      <c r="BC59" s="143"/>
      <c r="BD59" s="143">
        <f>BD57+BD58</f>
        <v>0</v>
      </c>
      <c r="BE59" s="143"/>
      <c r="BF59" s="143"/>
      <c r="BG59" s="143">
        <f>BG57+BG58</f>
        <v>3500</v>
      </c>
      <c r="BH59" s="143">
        <f>BH57+BH58</f>
        <v>0</v>
      </c>
      <c r="BI59" s="143"/>
      <c r="BJ59" s="113">
        <f>D59-E59+F59-G59+H59-I59+J59-K59+L59-M59+N59-O59+P59-Q59+R59-S59+T59-U59+V59-W59+X59-Y59+Z59-AA59+AB59-AC59+AD59-AE59+AF59-AG59+AH59-AI59+AJ59-AK59+AL59-AM59+AN59-AO59+AP59-AQ59+AR59-AS59+AT59-AU59+AV59-AW59+AX59-AY59+AZ59-BA59+BB59-BC59+BD59-BE59+BF59-BG59+BH59-BI59</f>
        <v>7.73070496506989E-11</v>
      </c>
    </row>
    <row r="60" spans="1:63">
      <c r="BJ60" s="113"/>
    </row>
    <row r="61" spans="1:63" ht="24.75">
      <c r="B61" s="147" t="s">
        <v>319</v>
      </c>
      <c r="F61" s="113"/>
    </row>
    <row r="63" spans="1:63" ht="19.5">
      <c r="B63" s="148" t="s">
        <v>51</v>
      </c>
      <c r="C63" s="148"/>
      <c r="D63" s="148">
        <v>2007</v>
      </c>
      <c r="E63" s="148">
        <v>2006</v>
      </c>
    </row>
    <row r="64" spans="1:63">
      <c r="B64" s="35"/>
    </row>
    <row r="65" spans="2:27">
      <c r="B65" s="33" t="s">
        <v>52</v>
      </c>
    </row>
    <row r="66" spans="2:27">
      <c r="B66" s="33" t="s">
        <v>53</v>
      </c>
      <c r="H66" s="35"/>
      <c r="Z66" s="34"/>
      <c r="AA66" s="34"/>
    </row>
    <row r="67" spans="2:27">
      <c r="B67" s="36" t="s">
        <v>54</v>
      </c>
      <c r="D67" s="155">
        <f>$D$55-$E$56</f>
        <v>100</v>
      </c>
      <c r="E67" s="155">
        <f>$D$7-$E$7</f>
        <v>100</v>
      </c>
      <c r="H67" s="35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5"/>
      <c r="AA67" s="75"/>
    </row>
    <row r="68" spans="2:27">
      <c r="B68" s="36" t="s">
        <v>368</v>
      </c>
      <c r="D68" s="155">
        <f>$F$55-$G$56</f>
        <v>47106.180000000008</v>
      </c>
      <c r="E68" s="155">
        <f>$F$7-$G$7</f>
        <v>31250.95</v>
      </c>
      <c r="F68" s="77"/>
      <c r="H68" s="64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5"/>
      <c r="AA68" s="75"/>
    </row>
    <row r="69" spans="2:27">
      <c r="B69" s="36" t="s">
        <v>57</v>
      </c>
      <c r="D69" s="155">
        <f>$AB$55-$AC$56</f>
        <v>867962.94</v>
      </c>
      <c r="E69" s="155">
        <f>$AB$7-$AC$7</f>
        <v>832238.94</v>
      </c>
      <c r="F69" s="77"/>
      <c r="H69" s="64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5"/>
      <c r="AA69" s="75"/>
    </row>
    <row r="70" spans="2:27">
      <c r="B70" s="36" t="s">
        <v>58</v>
      </c>
      <c r="C70" s="177" t="s">
        <v>379</v>
      </c>
      <c r="D70" s="155">
        <f>$AX$55-$AY$56</f>
        <v>5044.18</v>
      </c>
      <c r="E70" s="155">
        <f>$AX$7-$AY$7</f>
        <v>9464.18</v>
      </c>
      <c r="F70" s="77"/>
      <c r="G70" s="77"/>
      <c r="H70" s="64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5"/>
      <c r="AA70" s="75"/>
    </row>
    <row r="71" spans="2:27">
      <c r="B71" s="36" t="s">
        <v>59</v>
      </c>
      <c r="D71" s="155">
        <f>$AZ$55-$BA$56</f>
        <v>0</v>
      </c>
      <c r="E71" s="155">
        <f>$AZ$7-$BA$7</f>
        <v>2924</v>
      </c>
      <c r="F71" s="77"/>
      <c r="H71" s="64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5"/>
      <c r="AA71" s="75"/>
    </row>
    <row r="72" spans="2:27">
      <c r="B72" s="36" t="s">
        <v>144</v>
      </c>
      <c r="D72" s="155">
        <f>$BB$55-$BC$56</f>
        <v>4727.8</v>
      </c>
      <c r="E72" s="155">
        <f>$BB$7-$BC$7</f>
        <v>702</v>
      </c>
      <c r="F72" s="77"/>
      <c r="G72" s="77"/>
      <c r="H72" s="65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5"/>
      <c r="AA72" s="75"/>
    </row>
    <row r="73" spans="2:27">
      <c r="B73" s="36" t="s">
        <v>145</v>
      </c>
      <c r="D73" s="155">
        <f>$BD$55-$BE$56</f>
        <v>0</v>
      </c>
      <c r="E73" s="155">
        <f>$BD$7-$BE$7</f>
        <v>15000</v>
      </c>
      <c r="F73" s="77"/>
      <c r="H73" s="64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5"/>
      <c r="AA73" s="75"/>
    </row>
    <row r="74" spans="2:27" ht="13.5" thickBot="1">
      <c r="B74" s="33" t="s">
        <v>60</v>
      </c>
      <c r="D74" s="156">
        <f>SUM(D67:D73)</f>
        <v>924941.10000000009</v>
      </c>
      <c r="E74" s="156">
        <f>SUM(E67:E73)</f>
        <v>891680.07</v>
      </c>
      <c r="F74" s="37"/>
      <c r="H74" s="64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5"/>
      <c r="AA74" s="75"/>
    </row>
    <row r="75" spans="2:27" ht="13.5" thickTop="1">
      <c r="B75" s="35"/>
      <c r="D75" s="77"/>
      <c r="E75" s="77"/>
      <c r="F75" s="37"/>
      <c r="H75" s="64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5"/>
      <c r="AA75" s="75"/>
    </row>
    <row r="76" spans="2:27">
      <c r="B76" s="35"/>
      <c r="D76" s="77"/>
      <c r="E76" s="94"/>
      <c r="F76" s="37"/>
      <c r="H76" s="64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5"/>
      <c r="AA76" s="75"/>
    </row>
    <row r="77" spans="2:27">
      <c r="B77" s="33" t="s">
        <v>61</v>
      </c>
      <c r="D77" s="77"/>
      <c r="E77" s="77"/>
      <c r="F77" s="37"/>
      <c r="H77" s="64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5"/>
      <c r="AA77" s="75"/>
    </row>
    <row r="78" spans="2:27">
      <c r="B78" s="35" t="s">
        <v>62</v>
      </c>
      <c r="D78" s="155">
        <f>$AJ$55-$AK$56</f>
        <v>0</v>
      </c>
      <c r="E78" s="155">
        <f>$AJ$7-$AK$7</f>
        <v>12843</v>
      </c>
      <c r="F78" s="37"/>
      <c r="G78" s="77"/>
      <c r="H78" s="64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5"/>
      <c r="AA78" s="75"/>
    </row>
    <row r="79" spans="2:27">
      <c r="B79" s="35" t="s">
        <v>63</v>
      </c>
      <c r="D79" s="155">
        <f>$AL$55-$AM$56</f>
        <v>950000</v>
      </c>
      <c r="E79" s="155">
        <f>$AL$7-$AM$7</f>
        <v>950000</v>
      </c>
      <c r="F79" s="37"/>
      <c r="H79" s="64"/>
    </row>
    <row r="80" spans="2:27">
      <c r="B80" s="36" t="s">
        <v>64</v>
      </c>
      <c r="D80" s="155">
        <f>$AN$55-$AO$56</f>
        <v>112480</v>
      </c>
      <c r="E80" s="155">
        <f>$AN$7-$AO$7</f>
        <v>112480</v>
      </c>
      <c r="F80" s="37"/>
    </row>
    <row r="81" spans="2:27">
      <c r="B81" s="36" t="s">
        <v>339</v>
      </c>
      <c r="D81" s="155">
        <f>$AP$55-$AQ$56</f>
        <v>5000</v>
      </c>
      <c r="E81" s="155">
        <f>$AP$7-$AQ$7</f>
        <v>5000</v>
      </c>
      <c r="F81" s="37"/>
    </row>
    <row r="82" spans="2:27" ht="13.5" thickBot="1">
      <c r="B82" s="38" t="s">
        <v>66</v>
      </c>
      <c r="D82" s="156">
        <f>SUM(D78:D81)</f>
        <v>1067480</v>
      </c>
      <c r="E82" s="156">
        <f>SUM(E78:E81)</f>
        <v>1080323</v>
      </c>
      <c r="F82" s="37"/>
    </row>
    <row r="83" spans="2:27" ht="13.5" thickTop="1">
      <c r="B83" s="35"/>
      <c r="D83" s="77"/>
      <c r="E83" s="77"/>
      <c r="F83" s="37"/>
    </row>
    <row r="84" spans="2:27">
      <c r="B84" s="35"/>
      <c r="D84" s="77"/>
      <c r="E84" s="77"/>
      <c r="F84" s="37"/>
    </row>
    <row r="85" spans="2:27" ht="13.5" thickBot="1">
      <c r="B85" s="38" t="s">
        <v>67</v>
      </c>
      <c r="D85" s="156">
        <f>D74+D82</f>
        <v>1992421.1</v>
      </c>
      <c r="E85" s="156">
        <f>E74+E82</f>
        <v>1972003.0699999998</v>
      </c>
      <c r="F85" s="37"/>
      <c r="Z85" s="75"/>
      <c r="AA85" s="75"/>
    </row>
    <row r="86" spans="2:27" ht="13.5" thickTop="1">
      <c r="B86" s="35"/>
      <c r="D86" s="77"/>
      <c r="E86" s="77"/>
      <c r="Z86" s="75"/>
      <c r="AA86" s="75"/>
    </row>
    <row r="87" spans="2:27">
      <c r="B87" s="35"/>
      <c r="D87" s="77"/>
      <c r="E87" s="77"/>
      <c r="Z87" s="75"/>
      <c r="AA87" s="75"/>
    </row>
    <row r="88" spans="2:27">
      <c r="B88" s="33" t="s">
        <v>68</v>
      </c>
      <c r="D88" s="77"/>
      <c r="E88" s="77"/>
      <c r="Z88" s="75"/>
      <c r="AA88" s="75"/>
    </row>
    <row r="89" spans="2:27">
      <c r="B89" s="35" t="s">
        <v>69</v>
      </c>
      <c r="D89" s="155">
        <f>-$BF$55+$BG$56</f>
        <v>3500</v>
      </c>
      <c r="E89" s="155">
        <f>-$BF$7+$BG$7</f>
        <v>0</v>
      </c>
      <c r="Z89" s="75"/>
      <c r="AA89" s="75"/>
    </row>
    <row r="90" spans="2:27" ht="13.5" thickBot="1">
      <c r="B90" s="33" t="s">
        <v>70</v>
      </c>
      <c r="D90" s="156">
        <f>SUM(D89)</f>
        <v>3500</v>
      </c>
      <c r="E90" s="156">
        <f>SUM(E89)</f>
        <v>0</v>
      </c>
      <c r="H90" s="34"/>
    </row>
    <row r="91" spans="2:27" ht="13.5" thickTop="1">
      <c r="B91" s="35"/>
      <c r="D91" s="77"/>
      <c r="E91" s="77"/>
      <c r="G91" s="152"/>
    </row>
    <row r="92" spans="2:27">
      <c r="B92" s="35"/>
      <c r="D92" s="77"/>
      <c r="E92" s="77"/>
    </row>
    <row r="93" spans="2:27">
      <c r="B93" s="33" t="s">
        <v>71</v>
      </c>
      <c r="D93" s="77"/>
      <c r="E93" s="77"/>
    </row>
    <row r="94" spans="2:27">
      <c r="B94" s="35" t="s">
        <v>72</v>
      </c>
      <c r="D94" s="155">
        <f>-$AR$55+$AS$56</f>
        <v>1067480</v>
      </c>
      <c r="E94" s="155">
        <f>-$AR$7+$AS$7</f>
        <v>1118849</v>
      </c>
      <c r="F94" s="77"/>
      <c r="H94" s="77"/>
    </row>
    <row r="95" spans="2:27">
      <c r="B95" s="36" t="s">
        <v>73</v>
      </c>
      <c r="D95" s="155">
        <f>-$AT$55+$AU$56</f>
        <v>680983.96600000001</v>
      </c>
      <c r="E95" s="155">
        <f>-$AT$7+$AU$7</f>
        <v>680983.96600000001</v>
      </c>
    </row>
    <row r="96" spans="2:27">
      <c r="B96" s="36" t="s">
        <v>74</v>
      </c>
      <c r="D96" s="155">
        <f>-$AV$55+$AW$56</f>
        <v>223539.10399999999</v>
      </c>
      <c r="E96" s="155">
        <f>-$AV$7+$AW$7</f>
        <v>172170.10399999999</v>
      </c>
      <c r="F96" s="39"/>
    </row>
    <row r="97" spans="2:25" ht="13.5" thickBot="1">
      <c r="B97" s="38" t="s">
        <v>75</v>
      </c>
      <c r="D97" s="156">
        <f>SUM(D94:D96)</f>
        <v>1972003.07</v>
      </c>
      <c r="E97" s="156">
        <f>SUM(E94:E96)</f>
        <v>1972003.07</v>
      </c>
      <c r="F97" s="66"/>
    </row>
    <row r="98" spans="2:25" ht="13.5" thickTop="1">
      <c r="B98" s="35"/>
      <c r="D98" s="77"/>
      <c r="E98" s="77"/>
    </row>
    <row r="99" spans="2:25">
      <c r="B99" s="33" t="s">
        <v>76</v>
      </c>
      <c r="D99" s="77"/>
      <c r="E99" s="77"/>
      <c r="F99" s="77"/>
    </row>
    <row r="100" spans="2:25">
      <c r="B100" s="36" t="s">
        <v>369</v>
      </c>
      <c r="D100" s="155">
        <f>D85-D90-D97</f>
        <v>16918.030000000028</v>
      </c>
      <c r="E100" s="155">
        <v>0</v>
      </c>
      <c r="F100" s="41"/>
    </row>
    <row r="101" spans="2:25">
      <c r="B101" s="35"/>
      <c r="D101" s="77"/>
      <c r="E101" s="77"/>
    </row>
    <row r="102" spans="2:25" ht="13.5" thickBot="1">
      <c r="B102" s="33" t="s">
        <v>77</v>
      </c>
      <c r="D102" s="156">
        <f>D90+D97+D100</f>
        <v>1992421.1</v>
      </c>
      <c r="E102" s="156">
        <f>E90+E97+E100</f>
        <v>1972003.07</v>
      </c>
    </row>
    <row r="103" spans="2:25" ht="13.5" thickTop="1">
      <c r="B103" s="35"/>
      <c r="D103" s="77"/>
      <c r="E103" s="77"/>
    </row>
    <row r="104" spans="2:25">
      <c r="D104" s="77"/>
      <c r="E104" s="77"/>
    </row>
    <row r="105" spans="2:25" ht="24.75">
      <c r="B105" s="147" t="s">
        <v>325</v>
      </c>
      <c r="D105" s="77"/>
      <c r="E105" s="77"/>
    </row>
    <row r="106" spans="2:25">
      <c r="D106" s="77"/>
      <c r="E106" s="77"/>
      <c r="F106" s="35"/>
      <c r="G106" s="73"/>
    </row>
    <row r="107" spans="2:25" ht="19.5">
      <c r="B107" s="148" t="s">
        <v>313</v>
      </c>
      <c r="C107" s="148"/>
      <c r="D107" s="148">
        <v>2007</v>
      </c>
      <c r="E107" s="148">
        <v>2006</v>
      </c>
      <c r="F107" s="148" t="s">
        <v>289</v>
      </c>
      <c r="G107" s="149" t="s">
        <v>314</v>
      </c>
      <c r="H107" s="150" t="s">
        <v>315</v>
      </c>
      <c r="I107" s="148" t="s">
        <v>320</v>
      </c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</row>
    <row r="108" spans="2:25">
      <c r="B108" s="34" t="s">
        <v>153</v>
      </c>
      <c r="D108" s="77"/>
      <c r="E108" s="77"/>
      <c r="F108" s="35"/>
      <c r="G108" s="35"/>
    </row>
    <row r="109" spans="2:25">
      <c r="B109" t="s">
        <v>154</v>
      </c>
      <c r="D109" s="155">
        <f>-$Z$55+$AA$56</f>
        <v>22800</v>
      </c>
      <c r="E109" s="155">
        <v>31802</v>
      </c>
      <c r="F109" s="155">
        <v>21000</v>
      </c>
      <c r="G109" s="155">
        <f>D109-F109</f>
        <v>1800</v>
      </c>
      <c r="H109" s="151">
        <f>IF(F109=0,"---",G109/F109)</f>
        <v>8.5714285714285715E-2</v>
      </c>
      <c r="I109" s="155">
        <v>22000</v>
      </c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</row>
    <row r="110" spans="2:25">
      <c r="B110" t="s">
        <v>155</v>
      </c>
      <c r="D110" s="155">
        <f>-$AD$55+$AE$56</f>
        <v>35724</v>
      </c>
      <c r="E110" s="155">
        <v>21854</v>
      </c>
      <c r="F110" s="155">
        <v>30000</v>
      </c>
      <c r="G110" s="155">
        <f>D110-F110</f>
        <v>5724</v>
      </c>
      <c r="H110" s="151">
        <f>IF(F110=0,"---",G110/F110)</f>
        <v>0.1908</v>
      </c>
      <c r="I110" s="155">
        <v>40000</v>
      </c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</row>
    <row r="111" spans="2:25">
      <c r="B111" t="s">
        <v>156</v>
      </c>
      <c r="D111" s="155">
        <f>-$AF$55+$AG$56</f>
        <v>61.63</v>
      </c>
      <c r="E111" s="155">
        <v>54.529999999998836</v>
      </c>
      <c r="F111" s="155">
        <v>50</v>
      </c>
      <c r="G111" s="155">
        <f>D111-F111</f>
        <v>11.630000000000003</v>
      </c>
      <c r="H111" s="151">
        <f>IF(F111=0,"---",G111/F111)</f>
        <v>0.23260000000000006</v>
      </c>
      <c r="I111" s="155">
        <v>50</v>
      </c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</row>
    <row r="112" spans="2:25">
      <c r="B112" s="79" t="s">
        <v>355</v>
      </c>
      <c r="D112" s="155">
        <f>-$AH$55+$AI$56</f>
        <v>314.5</v>
      </c>
      <c r="E112" s="155"/>
      <c r="F112" s="155"/>
      <c r="G112" s="155"/>
      <c r="H112" s="151"/>
      <c r="I112" s="155">
        <v>0</v>
      </c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</row>
    <row r="113" spans="2:25" ht="16.5" thickBot="1">
      <c r="B113" s="154" t="s">
        <v>158</v>
      </c>
      <c r="C113" s="154"/>
      <c r="D113" s="156">
        <f>SUM(D109:D112)</f>
        <v>58900.13</v>
      </c>
      <c r="E113" s="156">
        <v>53710.53</v>
      </c>
      <c r="F113" s="156">
        <f>SUM(F109:F112)</f>
        <v>51050</v>
      </c>
      <c r="G113" s="156">
        <f>SUM(G109:G112)</f>
        <v>7535.63</v>
      </c>
      <c r="H113" s="153">
        <f>IF(F113=0,"---",G113/F113)</f>
        <v>0.14761273261508326</v>
      </c>
      <c r="I113" s="156">
        <f>SUM(I109:I112)</f>
        <v>62050</v>
      </c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</row>
    <row r="114" spans="2:25" ht="13.5" thickTop="1">
      <c r="D114" s="77"/>
      <c r="E114" s="77"/>
      <c r="F114" s="77"/>
      <c r="G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2:25">
      <c r="B115" s="34" t="s">
        <v>159</v>
      </c>
      <c r="D115" s="77"/>
      <c r="E115" s="77"/>
      <c r="F115" s="77"/>
      <c r="G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</row>
    <row r="116" spans="2:25">
      <c r="B116" t="s">
        <v>290</v>
      </c>
      <c r="D116" s="155">
        <f>$H$55-$I$56</f>
        <v>5000</v>
      </c>
      <c r="E116" s="155">
        <v>5000</v>
      </c>
      <c r="F116" s="155">
        <v>5000</v>
      </c>
      <c r="G116" s="155">
        <f>D116-F116</f>
        <v>0</v>
      </c>
      <c r="H116" s="151">
        <f t="shared" ref="H116:H126" si="1">IF(F116=0,"---",G116/F116)</f>
        <v>0</v>
      </c>
      <c r="I116" s="155">
        <v>5000</v>
      </c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</row>
    <row r="117" spans="2:25">
      <c r="B117" t="s">
        <v>161</v>
      </c>
      <c r="D117" s="155">
        <f>$J$55-$K$56</f>
        <v>12843</v>
      </c>
      <c r="E117" s="155">
        <v>12842</v>
      </c>
      <c r="F117" s="155">
        <v>12843</v>
      </c>
      <c r="G117" s="155">
        <f t="shared" ref="G117:G124" si="2">D117-F117</f>
        <v>0</v>
      </c>
      <c r="H117" s="151">
        <f t="shared" si="1"/>
        <v>0</v>
      </c>
      <c r="I117" s="155">
        <v>5000</v>
      </c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</row>
    <row r="118" spans="2:25">
      <c r="B118" t="s">
        <v>162</v>
      </c>
      <c r="C118" s="177" t="s">
        <v>380</v>
      </c>
      <c r="D118" s="155">
        <f>$L$55-$M$56</f>
        <v>9420</v>
      </c>
      <c r="E118" s="155">
        <v>4482</v>
      </c>
      <c r="F118" s="155">
        <v>8000</v>
      </c>
      <c r="G118" s="155">
        <f t="shared" si="2"/>
        <v>1420</v>
      </c>
      <c r="H118" s="151">
        <f t="shared" si="1"/>
        <v>0.17749999999999999</v>
      </c>
      <c r="I118" s="155">
        <v>8000</v>
      </c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</row>
    <row r="119" spans="2:25">
      <c r="B119" t="s">
        <v>163</v>
      </c>
      <c r="D119" s="155">
        <f>$N$55-$O$56</f>
        <v>2890.5</v>
      </c>
      <c r="E119" s="155">
        <v>0</v>
      </c>
      <c r="F119" s="155">
        <v>8000</v>
      </c>
      <c r="G119" s="155">
        <f t="shared" si="2"/>
        <v>-5109.5</v>
      </c>
      <c r="H119" s="151">
        <f t="shared" si="1"/>
        <v>-0.63868749999999996</v>
      </c>
      <c r="I119" s="155">
        <v>5000</v>
      </c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</row>
    <row r="120" spans="2:25">
      <c r="B120" t="s">
        <v>321</v>
      </c>
      <c r="D120" s="155">
        <f>$P$55-$Q$56</f>
        <v>990</v>
      </c>
      <c r="E120" s="155">
        <v>2030</v>
      </c>
      <c r="F120" s="155">
        <v>1100</v>
      </c>
      <c r="G120" s="155">
        <f t="shared" si="2"/>
        <v>-110</v>
      </c>
      <c r="H120" s="151">
        <f t="shared" si="1"/>
        <v>-0.1</v>
      </c>
      <c r="I120" s="155">
        <v>1100</v>
      </c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</row>
    <row r="121" spans="2:25">
      <c r="B121" t="s">
        <v>95</v>
      </c>
      <c r="D121" s="155">
        <f>$R$55-$S$56</f>
        <v>2172</v>
      </c>
      <c r="E121" s="155">
        <v>592</v>
      </c>
      <c r="F121" s="155">
        <v>2200</v>
      </c>
      <c r="G121" s="155">
        <f t="shared" si="2"/>
        <v>-28</v>
      </c>
      <c r="H121" s="151">
        <f t="shared" si="1"/>
        <v>-1.2727272727272728E-2</v>
      </c>
      <c r="I121" s="155">
        <v>2200</v>
      </c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</row>
    <row r="122" spans="2:25">
      <c r="B122" t="s">
        <v>166</v>
      </c>
      <c r="C122" s="177" t="s">
        <v>378</v>
      </c>
      <c r="D122" s="155">
        <f>$T$55-$U$56</f>
        <v>2030.6</v>
      </c>
      <c r="E122" s="155">
        <v>2917.56</v>
      </c>
      <c r="F122" s="155">
        <v>8000</v>
      </c>
      <c r="G122" s="155">
        <f t="shared" si="2"/>
        <v>-5969.4</v>
      </c>
      <c r="H122" s="151">
        <f t="shared" si="1"/>
        <v>-0.74617499999999992</v>
      </c>
      <c r="I122" s="155">
        <v>12000</v>
      </c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</row>
    <row r="123" spans="2:25">
      <c r="B123" t="s">
        <v>169</v>
      </c>
      <c r="D123" s="155">
        <f>$V$55-$W$56</f>
        <v>2500</v>
      </c>
      <c r="E123" s="155">
        <v>2500</v>
      </c>
      <c r="F123" s="155">
        <v>2500</v>
      </c>
      <c r="G123" s="155">
        <f t="shared" si="2"/>
        <v>0</v>
      </c>
      <c r="H123" s="151">
        <f t="shared" si="1"/>
        <v>0</v>
      </c>
      <c r="I123" s="155">
        <v>2500</v>
      </c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</row>
    <row r="124" spans="2:25">
      <c r="B124" t="s">
        <v>170</v>
      </c>
      <c r="D124" s="155">
        <f>$X$55-$Y$56</f>
        <v>4136</v>
      </c>
      <c r="E124" s="155">
        <v>2460.41</v>
      </c>
      <c r="F124" s="155">
        <v>2000</v>
      </c>
      <c r="G124" s="155">
        <f t="shared" si="2"/>
        <v>2136</v>
      </c>
      <c r="H124" s="151">
        <f t="shared" si="1"/>
        <v>1.0680000000000001</v>
      </c>
      <c r="I124" s="155">
        <v>500</v>
      </c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</row>
    <row r="125" spans="2:25">
      <c r="B125" t="s">
        <v>381</v>
      </c>
      <c r="D125" s="155"/>
      <c r="E125" s="155"/>
      <c r="F125" s="155"/>
      <c r="G125" s="155"/>
      <c r="H125" s="151"/>
      <c r="I125" s="155">
        <v>12000</v>
      </c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</row>
    <row r="126" spans="2:25" ht="16.5" thickBot="1">
      <c r="B126" s="154" t="s">
        <v>171</v>
      </c>
      <c r="C126" s="154"/>
      <c r="D126" s="156">
        <f>SUM(D116:D124)</f>
        <v>41982.1</v>
      </c>
      <c r="E126" s="156">
        <v>32823.97</v>
      </c>
      <c r="F126" s="156">
        <f>SUM(F116:F124)</f>
        <v>49643</v>
      </c>
      <c r="G126" s="156">
        <f>SUM(G116:G124)</f>
        <v>-7660.9</v>
      </c>
      <c r="H126" s="153">
        <f t="shared" si="1"/>
        <v>-0.15431984368390306</v>
      </c>
      <c r="I126" s="156">
        <f>SUM(I116:I125)</f>
        <v>53300</v>
      </c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</row>
    <row r="127" spans="2:25" ht="13.5" thickTop="1"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</row>
    <row r="128" spans="2:25" ht="16.5" thickBot="1">
      <c r="B128" s="154" t="s">
        <v>141</v>
      </c>
      <c r="C128" s="154"/>
      <c r="D128" s="156">
        <f>D113-D126</f>
        <v>16918.03</v>
      </c>
      <c r="E128" s="156">
        <v>20886.560000000001</v>
      </c>
      <c r="F128" s="156">
        <f>F113-F126</f>
        <v>1407</v>
      </c>
      <c r="G128" s="156">
        <f>G113-G126</f>
        <v>15196.529999999999</v>
      </c>
      <c r="H128" s="153">
        <f>IF(F128=0,"---",G128/F128)</f>
        <v>10.800660980810234</v>
      </c>
      <c r="I128" s="156">
        <f>I113-I126</f>
        <v>8750</v>
      </c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</row>
    <row r="129" spans="2:25" ht="13.5" thickTop="1">
      <c r="D129" s="77"/>
      <c r="E129" s="77"/>
      <c r="F129" s="77"/>
      <c r="G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</row>
    <row r="130" spans="2:25">
      <c r="B130" s="34" t="s">
        <v>172</v>
      </c>
      <c r="D130" s="77"/>
      <c r="E130" s="77"/>
      <c r="F130" s="77"/>
      <c r="G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</row>
    <row r="131" spans="2:25">
      <c r="B131" t="s">
        <v>173</v>
      </c>
      <c r="D131" s="155">
        <f>SUM(D110:D111)*0.2</f>
        <v>7157.1260000000002</v>
      </c>
      <c r="E131" s="155">
        <v>4381.7060000000001</v>
      </c>
      <c r="F131" s="155">
        <f>SUM(F110:F111)*0.2</f>
        <v>6010</v>
      </c>
      <c r="G131" s="155">
        <f>D131-F131</f>
        <v>1147.1260000000002</v>
      </c>
      <c r="H131" s="151">
        <f>IF(F131=0,"---",G131/F131)</f>
        <v>0.19086955074875211</v>
      </c>
      <c r="I131" s="155">
        <f>SUM(I110:I111)*0.2</f>
        <v>8010</v>
      </c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</row>
    <row r="132" spans="2:25">
      <c r="B132" t="s">
        <v>174</v>
      </c>
      <c r="D132" s="155">
        <f>D128-D131</f>
        <v>9760.9039999999986</v>
      </c>
      <c r="E132" s="155">
        <v>16504.853999999999</v>
      </c>
      <c r="F132" s="155">
        <f>F128-F131</f>
        <v>-4603</v>
      </c>
      <c r="G132" s="155">
        <f>D132-F132</f>
        <v>14363.903999999999</v>
      </c>
      <c r="H132" s="151">
        <f>IF(F132=0,"---",G132/F132)</f>
        <v>-3.1205526830328045</v>
      </c>
      <c r="I132" s="155">
        <f>I128-I131</f>
        <v>740</v>
      </c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</row>
    <row r="133" spans="2:25" ht="16.5" thickBot="1">
      <c r="B133" s="154" t="s">
        <v>175</v>
      </c>
      <c r="C133" s="154"/>
      <c r="D133" s="156">
        <f>SUM(D131:D132)</f>
        <v>16918.03</v>
      </c>
      <c r="E133" s="156">
        <v>20886.560000000001</v>
      </c>
      <c r="F133" s="156">
        <f>SUM(F131:F132)</f>
        <v>1407</v>
      </c>
      <c r="G133" s="156">
        <f>D133-F133</f>
        <v>15511.029999999999</v>
      </c>
      <c r="H133" s="153">
        <f>IF(F133=0,"---",G133/F133)</f>
        <v>11.024186211798151</v>
      </c>
      <c r="I133" s="156">
        <f>SUM(I131:I132)</f>
        <v>8750</v>
      </c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</row>
    <row r="134" spans="2:25" ht="13.5" thickTop="1"/>
    <row r="135" spans="2:25">
      <c r="F135" s="113"/>
    </row>
    <row r="136" spans="2:25">
      <c r="D136" s="79" t="str">
        <f>IF(AND(D100-D133&lt;1,D100-D133&gt;-1),"OK","FEIL !!")</f>
        <v>OK</v>
      </c>
      <c r="F136" s="113"/>
    </row>
    <row r="137" spans="2:25">
      <c r="F137" s="77"/>
    </row>
    <row r="138" spans="2:25">
      <c r="D138" s="77"/>
      <c r="F138" s="77"/>
    </row>
    <row r="140" spans="2:25">
      <c r="B140" s="177" t="s">
        <v>378</v>
      </c>
      <c r="F140" s="177" t="s">
        <v>379</v>
      </c>
    </row>
    <row r="141" spans="2:25">
      <c r="B141" s="34" t="s">
        <v>166</v>
      </c>
      <c r="F141" s="34" t="s">
        <v>374</v>
      </c>
    </row>
    <row r="142" spans="2:25">
      <c r="B142" t="s">
        <v>377</v>
      </c>
      <c r="D142" s="113">
        <f>T15</f>
        <v>271.60000000000002</v>
      </c>
      <c r="F142" s="34" t="s">
        <v>177</v>
      </c>
    </row>
    <row r="143" spans="2:25">
      <c r="B143" t="s">
        <v>357</v>
      </c>
      <c r="D143" s="113">
        <f>T35</f>
        <v>1359</v>
      </c>
      <c r="F143" s="79" t="s">
        <v>322</v>
      </c>
      <c r="G143" s="34"/>
      <c r="H143" s="80"/>
      <c r="I143" s="77">
        <v>9464</v>
      </c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</row>
    <row r="144" spans="2:25">
      <c r="B144" t="s">
        <v>376</v>
      </c>
      <c r="D144" s="113">
        <f>T49</f>
        <v>210</v>
      </c>
      <c r="F144" s="79" t="s">
        <v>204</v>
      </c>
      <c r="I144" s="77">
        <v>5000</v>
      </c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</row>
    <row r="145" spans="2:25">
      <c r="B145" t="s">
        <v>371</v>
      </c>
      <c r="D145" s="113">
        <f>T42</f>
        <v>190</v>
      </c>
      <c r="F145" s="79" t="s">
        <v>323</v>
      </c>
      <c r="G145" s="34"/>
      <c r="H145" s="80"/>
      <c r="I145" s="77">
        <f>I157</f>
        <v>-9420</v>
      </c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</row>
    <row r="146" spans="2:25" ht="13.5" thickBot="1">
      <c r="B146" s="91" t="s">
        <v>166</v>
      </c>
      <c r="D146" s="176">
        <f>SUM(D142:D145)</f>
        <v>2030.6</v>
      </c>
      <c r="F146" s="34" t="s">
        <v>324</v>
      </c>
      <c r="G146" s="82"/>
      <c r="H146" s="82"/>
      <c r="I146" s="175">
        <f>SUM(I143:I145)</f>
        <v>5044</v>
      </c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</row>
    <row r="147" spans="2:25" ht="13.5" thickTop="1">
      <c r="B147" s="91"/>
      <c r="F147" s="34"/>
      <c r="G147" s="82"/>
      <c r="H147" s="82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2:25">
      <c r="F148" s="177" t="s">
        <v>380</v>
      </c>
      <c r="G148" s="82"/>
      <c r="H148" s="82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2:25">
      <c r="F149" s="34" t="s">
        <v>186</v>
      </c>
      <c r="G149" s="82"/>
      <c r="H149" s="82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2:25">
      <c r="F150" s="79" t="s">
        <v>294</v>
      </c>
      <c r="G150" s="82"/>
      <c r="H150" s="64">
        <v>2920</v>
      </c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</row>
    <row r="151" spans="2:25">
      <c r="F151" s="79" t="s">
        <v>295</v>
      </c>
      <c r="G151" s="82"/>
      <c r="H151" s="64">
        <v>9626</v>
      </c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</row>
    <row r="152" spans="2:25">
      <c r="F152" s="79" t="s">
        <v>293</v>
      </c>
      <c r="G152" s="82"/>
      <c r="H152" s="64"/>
      <c r="I152" s="64">
        <f>H150-H151</f>
        <v>-6706</v>
      </c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</row>
    <row r="153" spans="2:25">
      <c r="F153" s="79" t="s">
        <v>297</v>
      </c>
      <c r="G153" s="82"/>
      <c r="H153" s="64">
        <v>8000</v>
      </c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</row>
    <row r="154" spans="2:25">
      <c r="F154" s="79" t="s">
        <v>298</v>
      </c>
      <c r="G154" s="82"/>
      <c r="H154" s="64">
        <v>8325</v>
      </c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</row>
    <row r="155" spans="2:25">
      <c r="F155" s="79" t="s">
        <v>296</v>
      </c>
      <c r="G155" s="82"/>
      <c r="H155" s="64"/>
      <c r="I155" s="64">
        <f>H153-H154</f>
        <v>-325</v>
      </c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</row>
    <row r="156" spans="2:25">
      <c r="F156" s="79" t="s">
        <v>366</v>
      </c>
      <c r="G156" s="82"/>
      <c r="H156" s="64"/>
      <c r="I156" s="64">
        <v>-2389</v>
      </c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</row>
    <row r="157" spans="2:25" ht="13.5" thickBot="1">
      <c r="F157" s="34" t="s">
        <v>323</v>
      </c>
      <c r="G157" s="34"/>
      <c r="H157" s="34"/>
      <c r="I157" s="175">
        <f>SUM(I150:I156)</f>
        <v>-9420</v>
      </c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2:25" ht="13.5" thickTop="1"/>
  </sheetData>
  <mergeCells count="36">
    <mergeCell ref="AH4:AI4"/>
    <mergeCell ref="AH5:AI5"/>
    <mergeCell ref="BD4:BE4"/>
    <mergeCell ref="AZ5:BA5"/>
    <mergeCell ref="BB5:BC5"/>
    <mergeCell ref="AX4:AY4"/>
    <mergeCell ref="AZ4:BA4"/>
    <mergeCell ref="BB4:BC4"/>
    <mergeCell ref="AD5:AE5"/>
    <mergeCell ref="AD4:AE4"/>
    <mergeCell ref="AF4:AG4"/>
    <mergeCell ref="AF5:AG5"/>
    <mergeCell ref="N5:O5"/>
    <mergeCell ref="P5:Q5"/>
    <mergeCell ref="R4:S4"/>
    <mergeCell ref="T4:U4"/>
    <mergeCell ref="N4:O4"/>
    <mergeCell ref="P4:Q4"/>
    <mergeCell ref="Z4:AA4"/>
    <mergeCell ref="Z5:AA5"/>
    <mergeCell ref="R5:S5"/>
    <mergeCell ref="T5:U5"/>
    <mergeCell ref="V5:W5"/>
    <mergeCell ref="X5:Y5"/>
    <mergeCell ref="V4:W4"/>
    <mergeCell ref="X4:Y4"/>
    <mergeCell ref="D4:E4"/>
    <mergeCell ref="D5:E5"/>
    <mergeCell ref="J5:K5"/>
    <mergeCell ref="L5:M5"/>
    <mergeCell ref="F4:G4"/>
    <mergeCell ref="F5:G5"/>
    <mergeCell ref="H4:I4"/>
    <mergeCell ref="H5:I5"/>
    <mergeCell ref="J4:K4"/>
    <mergeCell ref="L4:M4"/>
  </mergeCells>
  <phoneticPr fontId="2" type="noConversion"/>
  <pageMargins left="0.74803149606299213" right="0.74803149606299213" top="0.98425196850393704" bottom="0.98425196850393704" header="0.51181102362204722" footer="0.51181102362204722"/>
  <headerFooter alignWithMargins="0"/>
  <ignoredErrors>
    <ignoredError sqref="H113 H128" formula="1"/>
    <ignoredError sqref="I131 F131" formulaRange="1"/>
  </ignoredErrors>
  <legacy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>
    <pageSetUpPr fitToPage="1"/>
  </sheetPr>
  <dimension ref="A1:AR145"/>
  <sheetViews>
    <sheetView topLeftCell="O1" workbookViewId="0">
      <pane ySplit="6" topLeftCell="A7" activePane="bottomLeft" state="frozen"/>
      <selection pane="bottomLeft" activeCell="H47" sqref="H47"/>
    </sheetView>
  </sheetViews>
  <sheetFormatPr baseColWidth="10" defaultColWidth="11.42578125" defaultRowHeight="12.75"/>
  <cols>
    <col min="1" max="1" width="10.140625" bestFit="1" customWidth="1"/>
    <col min="2" max="2" width="27.7109375" customWidth="1"/>
    <col min="3" max="3" width="6.85546875" customWidth="1"/>
    <col min="4" max="5" width="9.140625" customWidth="1"/>
    <col min="6" max="6" width="15.85546875" customWidth="1"/>
    <col min="7" max="7" width="13" customWidth="1"/>
    <col min="8" max="8" width="16" customWidth="1"/>
    <col min="9" max="9" width="16.7109375" customWidth="1"/>
    <col min="10" max="10" width="8.42578125" customWidth="1"/>
    <col min="11" max="11" width="8.7109375" customWidth="1"/>
    <col min="12" max="12" width="10" customWidth="1"/>
    <col min="13" max="13" width="8.7109375" customWidth="1"/>
    <col min="14" max="14" width="6.42578125" customWidth="1"/>
    <col min="15" max="15" width="9.28515625" customWidth="1"/>
    <col min="16" max="16" width="7.7109375" customWidth="1"/>
    <col min="17" max="17" width="7.85546875" customWidth="1"/>
    <col min="18" max="18" width="10.42578125" customWidth="1"/>
    <col min="19" max="19" width="6.85546875" customWidth="1"/>
    <col min="20" max="20" width="8.42578125" customWidth="1"/>
    <col min="21" max="21" width="5" customWidth="1"/>
    <col min="22" max="22" width="7.7109375" customWidth="1"/>
    <col min="23" max="23" width="5.28515625" customWidth="1"/>
    <col min="24" max="24" width="5.42578125" customWidth="1"/>
    <col min="25" max="25" width="10.42578125" customWidth="1"/>
    <col min="26" max="26" width="5" customWidth="1"/>
    <col min="27" max="27" width="9.42578125" customWidth="1"/>
    <col min="28" max="28" width="5.42578125" customWidth="1"/>
    <col min="29" max="37" width="9.42578125" customWidth="1"/>
    <col min="38" max="38" width="8.7109375" customWidth="1"/>
    <col min="39" max="39" width="9.140625" customWidth="1"/>
    <col min="40" max="40" width="11.42578125" customWidth="1"/>
    <col min="41" max="41" width="9.42578125" customWidth="1"/>
    <col min="42" max="42" width="12" customWidth="1"/>
    <col min="43" max="43" width="12.85546875" bestFit="1" customWidth="1"/>
  </cols>
  <sheetData>
    <row r="1" spans="1:44" ht="20.25">
      <c r="A1" s="121" t="s">
        <v>247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</row>
    <row r="2" spans="1:44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</row>
    <row r="3" spans="1:44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</row>
    <row r="4" spans="1:44">
      <c r="A4" s="124" t="s">
        <v>20</v>
      </c>
      <c r="B4" s="124" t="s">
        <v>0</v>
      </c>
      <c r="C4" s="124" t="s">
        <v>1</v>
      </c>
      <c r="D4" s="124" t="s">
        <v>2</v>
      </c>
      <c r="E4" s="124"/>
      <c r="F4" s="124" t="s">
        <v>3</v>
      </c>
      <c r="G4" s="124"/>
      <c r="H4" s="125" t="s">
        <v>5</v>
      </c>
      <c r="I4" s="124"/>
      <c r="J4" s="124" t="s">
        <v>6</v>
      </c>
      <c r="K4" s="124"/>
      <c r="L4" s="124" t="s">
        <v>7</v>
      </c>
      <c r="M4" s="126"/>
      <c r="N4" s="124" t="s">
        <v>248</v>
      </c>
      <c r="O4" s="124"/>
      <c r="P4" s="124" t="s">
        <v>9</v>
      </c>
      <c r="Q4" s="124"/>
      <c r="R4" s="124" t="s">
        <v>10</v>
      </c>
      <c r="S4" s="124"/>
      <c r="T4" s="124" t="s">
        <v>11</v>
      </c>
      <c r="U4" s="124"/>
      <c r="V4" s="124" t="s">
        <v>12</v>
      </c>
      <c r="W4" s="124"/>
      <c r="X4" s="124" t="s">
        <v>13</v>
      </c>
      <c r="Y4" s="124"/>
      <c r="Z4" s="124" t="s">
        <v>14</v>
      </c>
      <c r="AA4" s="124"/>
      <c r="AB4" s="124" t="s">
        <v>15</v>
      </c>
      <c r="AC4" s="124"/>
      <c r="AD4" s="588" t="s">
        <v>281</v>
      </c>
      <c r="AE4" s="589"/>
      <c r="AF4" s="588" t="s">
        <v>282</v>
      </c>
      <c r="AG4" s="589"/>
      <c r="AH4" s="588" t="s">
        <v>282</v>
      </c>
      <c r="AI4" s="589"/>
      <c r="AJ4" s="588" t="s">
        <v>285</v>
      </c>
      <c r="AK4" s="589"/>
      <c r="AL4" s="127" t="s">
        <v>30</v>
      </c>
      <c r="AM4" s="124"/>
      <c r="AN4" s="124" t="s">
        <v>32</v>
      </c>
      <c r="AO4" s="124"/>
    </row>
    <row r="5" spans="1:44">
      <c r="A5" s="124"/>
      <c r="B5" s="124"/>
      <c r="C5" s="124" t="s">
        <v>16</v>
      </c>
      <c r="D5" s="124"/>
      <c r="E5" s="124"/>
      <c r="F5" s="124" t="s">
        <v>249</v>
      </c>
      <c r="G5" s="124"/>
      <c r="H5" s="124"/>
      <c r="I5" s="124"/>
      <c r="J5" s="124" t="s">
        <v>20</v>
      </c>
      <c r="K5" s="124"/>
      <c r="L5" s="124" t="s">
        <v>21</v>
      </c>
      <c r="M5" s="126"/>
      <c r="N5" s="124"/>
      <c r="O5" s="124"/>
      <c r="P5" s="124" t="s">
        <v>22</v>
      </c>
      <c r="Q5" s="124"/>
      <c r="R5" s="124" t="s">
        <v>23</v>
      </c>
      <c r="S5" s="124"/>
      <c r="T5" s="124" t="s">
        <v>24</v>
      </c>
      <c r="U5" s="124"/>
      <c r="V5" s="124" t="s">
        <v>25</v>
      </c>
      <c r="W5" s="124"/>
      <c r="X5" s="124" t="s">
        <v>26</v>
      </c>
      <c r="Y5" s="124"/>
      <c r="Z5" s="124" t="s">
        <v>27</v>
      </c>
      <c r="AA5" s="124"/>
      <c r="AB5" s="124"/>
      <c r="AC5" s="124"/>
      <c r="AD5" s="124"/>
      <c r="AE5" s="124"/>
      <c r="AF5" s="588" t="s">
        <v>284</v>
      </c>
      <c r="AG5" s="589"/>
      <c r="AH5" s="588" t="s">
        <v>283</v>
      </c>
      <c r="AI5" s="589"/>
      <c r="AJ5" s="144"/>
      <c r="AK5" s="144"/>
      <c r="AL5" s="124"/>
      <c r="AM5" s="124"/>
      <c r="AN5" s="124"/>
      <c r="AO5" s="124"/>
    </row>
    <row r="6" spans="1:44">
      <c r="A6" s="3"/>
      <c r="B6" s="3"/>
      <c r="C6" s="3"/>
      <c r="D6" s="3" t="s">
        <v>28</v>
      </c>
      <c r="E6" s="3" t="s">
        <v>29</v>
      </c>
      <c r="F6" s="3" t="s">
        <v>28</v>
      </c>
      <c r="G6" s="3" t="s">
        <v>29</v>
      </c>
      <c r="H6" s="3" t="s">
        <v>28</v>
      </c>
      <c r="I6" s="3" t="s">
        <v>29</v>
      </c>
      <c r="J6" s="3" t="s">
        <v>28</v>
      </c>
      <c r="K6" s="3" t="s">
        <v>29</v>
      </c>
      <c r="L6" s="3" t="s">
        <v>28</v>
      </c>
      <c r="M6" s="128" t="s">
        <v>29</v>
      </c>
      <c r="N6" s="3" t="s">
        <v>28</v>
      </c>
      <c r="O6" s="3" t="s">
        <v>29</v>
      </c>
      <c r="P6" s="3" t="s">
        <v>28</v>
      </c>
      <c r="Q6" s="3" t="s">
        <v>29</v>
      </c>
      <c r="R6" s="3" t="s">
        <v>28</v>
      </c>
      <c r="S6" s="3" t="s">
        <v>29</v>
      </c>
      <c r="T6" s="3" t="s">
        <v>28</v>
      </c>
      <c r="U6" s="3" t="s">
        <v>29</v>
      </c>
      <c r="V6" s="3" t="s">
        <v>28</v>
      </c>
      <c r="W6" s="3" t="s">
        <v>29</v>
      </c>
      <c r="X6" s="3" t="s">
        <v>28</v>
      </c>
      <c r="Y6" s="3" t="s">
        <v>29</v>
      </c>
      <c r="Z6" s="3" t="s">
        <v>28</v>
      </c>
      <c r="AA6" s="3" t="s">
        <v>29</v>
      </c>
      <c r="AB6" s="3" t="s">
        <v>28</v>
      </c>
      <c r="AC6" s="3" t="s">
        <v>29</v>
      </c>
      <c r="AD6" s="3" t="s">
        <v>28</v>
      </c>
      <c r="AE6" s="3" t="s">
        <v>29</v>
      </c>
      <c r="AF6" s="3" t="s">
        <v>28</v>
      </c>
      <c r="AG6" s="3" t="s">
        <v>29</v>
      </c>
      <c r="AH6" s="3" t="s">
        <v>28</v>
      </c>
      <c r="AI6" s="3" t="s">
        <v>29</v>
      </c>
      <c r="AJ6" s="3" t="s">
        <v>28</v>
      </c>
      <c r="AK6" s="3" t="s">
        <v>29</v>
      </c>
      <c r="AL6" s="3" t="s">
        <v>28</v>
      </c>
      <c r="AM6" s="3" t="s">
        <v>29</v>
      </c>
      <c r="AN6" s="3" t="s">
        <v>28</v>
      </c>
      <c r="AO6" s="3" t="s">
        <v>29</v>
      </c>
    </row>
    <row r="7" spans="1:44">
      <c r="A7" s="122"/>
      <c r="B7" s="129" t="s">
        <v>250</v>
      </c>
      <c r="C7" s="3"/>
      <c r="D7" s="130">
        <f>100</f>
        <v>100</v>
      </c>
      <c r="E7" s="131"/>
      <c r="F7" s="130">
        <v>69938.39</v>
      </c>
      <c r="G7" s="131"/>
      <c r="H7" s="131"/>
      <c r="I7" s="131"/>
      <c r="J7" s="131"/>
      <c r="K7" s="131"/>
      <c r="L7" s="130">
        <v>760384.94</v>
      </c>
      <c r="M7" s="132"/>
      <c r="N7" s="131"/>
      <c r="O7" s="131"/>
      <c r="P7" s="130">
        <v>25685</v>
      </c>
      <c r="Q7" s="131"/>
      <c r="R7" s="130">
        <v>950000</v>
      </c>
      <c r="S7" s="131"/>
      <c r="T7" s="130">
        <v>112480</v>
      </c>
      <c r="U7" s="131"/>
      <c r="V7" s="130">
        <v>5000</v>
      </c>
      <c r="W7" s="131"/>
      <c r="X7" s="131"/>
      <c r="Y7" s="130">
        <v>1118849</v>
      </c>
      <c r="Z7" s="131"/>
      <c r="AA7" s="130">
        <v>676602.26</v>
      </c>
      <c r="AB7" s="131"/>
      <c r="AC7" s="130">
        <v>155665.25</v>
      </c>
      <c r="AD7" s="131"/>
      <c r="AE7" s="131"/>
      <c r="AF7" s="131"/>
      <c r="AG7" s="131"/>
      <c r="AH7" s="131"/>
      <c r="AI7" s="131"/>
      <c r="AJ7" s="131"/>
      <c r="AK7" s="131"/>
      <c r="AL7" s="133"/>
      <c r="AM7" s="130">
        <v>2672</v>
      </c>
      <c r="AN7" s="130">
        <v>30200.18</v>
      </c>
      <c r="AO7" s="133"/>
      <c r="AP7" s="113">
        <f>D7-E7+F7-G7+H7-I7+J7-K7+L7-M7+N7-O7+P7-Q7+R7-S7+T7-U7+V7-W7+X7-Y7+Z7-AA7+AB7-AC7+AD7-AE7+AF7-AG7+AH7-AI7+AJ7-AK7+AL7-AM7+AN7-AO7</f>
        <v>6.5483618527650833E-11</v>
      </c>
      <c r="AQ7" s="41"/>
      <c r="AR7" s="41"/>
    </row>
    <row r="8" spans="1:44">
      <c r="A8" s="122"/>
      <c r="B8" s="129" t="s">
        <v>279</v>
      </c>
      <c r="C8" s="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>
        <v>5946.18</v>
      </c>
      <c r="AE8" s="133"/>
      <c r="AG8" s="133"/>
      <c r="AH8" s="133"/>
      <c r="AI8" s="133"/>
      <c r="AJ8" s="133"/>
      <c r="AK8" s="133"/>
      <c r="AL8" s="133"/>
      <c r="AM8" s="133"/>
      <c r="AN8" s="133"/>
      <c r="AO8" s="133">
        <v>5946.18</v>
      </c>
      <c r="AP8" s="113">
        <f t="shared" ref="AP8:AP14" si="0">D8-E8+F8-G8+H8-I8+J8-K8+L8-M8+N8-O8+P8-Q8+R8-S8+T8-U8+V8-W8+X8-Y8+Z8-AA8+AB8-AC8+AD8-AE8+AF8-AG8+AH8-AI8+AJ8-AK8+AL8-AM8+AN8-AO8</f>
        <v>0</v>
      </c>
      <c r="AQ8" s="41"/>
      <c r="AR8" s="41"/>
    </row>
    <row r="9" spans="1:44">
      <c r="A9" s="122"/>
      <c r="B9" s="129" t="s">
        <v>279</v>
      </c>
      <c r="C9" s="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>
        <v>3552</v>
      </c>
      <c r="AG9" s="133"/>
      <c r="AH9" s="133"/>
      <c r="AI9" s="133"/>
      <c r="AJ9" s="133"/>
      <c r="AK9" s="133"/>
      <c r="AL9" s="133"/>
      <c r="AM9" s="133"/>
      <c r="AN9" s="133"/>
      <c r="AO9" s="133">
        <v>3552</v>
      </c>
      <c r="AP9" s="113">
        <f t="shared" si="0"/>
        <v>0</v>
      </c>
      <c r="AQ9" s="41"/>
      <c r="AR9" s="41"/>
    </row>
    <row r="10" spans="1:44">
      <c r="A10" s="122"/>
      <c r="B10" s="129"/>
      <c r="C10" s="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>
        <v>628</v>
      </c>
      <c r="AH10" s="133"/>
      <c r="AI10" s="133"/>
      <c r="AJ10" s="133"/>
      <c r="AK10" s="133"/>
      <c r="AL10" s="133">
        <v>628</v>
      </c>
      <c r="AM10" s="133"/>
      <c r="AN10" s="133"/>
      <c r="AO10" s="133"/>
      <c r="AP10" s="113">
        <f t="shared" si="0"/>
        <v>0</v>
      </c>
      <c r="AQ10" s="41"/>
      <c r="AR10" s="41"/>
    </row>
    <row r="11" spans="1:44">
      <c r="A11" s="122"/>
      <c r="B11" s="129" t="s">
        <v>279</v>
      </c>
      <c r="C11" s="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>
        <v>5702</v>
      </c>
      <c r="AI11" s="133"/>
      <c r="AJ11" s="133"/>
      <c r="AK11" s="133"/>
      <c r="AL11" s="133"/>
      <c r="AM11" s="133"/>
      <c r="AN11" s="133"/>
      <c r="AO11" s="133">
        <v>5702</v>
      </c>
      <c r="AP11" s="113">
        <f t="shared" si="0"/>
        <v>0</v>
      </c>
      <c r="AQ11" s="41"/>
      <c r="AR11" s="41"/>
    </row>
    <row r="12" spans="1:44">
      <c r="A12" s="122"/>
      <c r="B12" s="129" t="s">
        <v>279</v>
      </c>
      <c r="C12" s="3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>
        <v>15000</v>
      </c>
      <c r="AK12" s="131"/>
      <c r="AL12" s="131"/>
      <c r="AM12" s="131"/>
      <c r="AN12" s="131"/>
      <c r="AO12" s="131">
        <v>15000</v>
      </c>
      <c r="AP12" s="113">
        <f t="shared" si="0"/>
        <v>0</v>
      </c>
      <c r="AQ12" s="41"/>
      <c r="AR12" s="41"/>
    </row>
    <row r="13" spans="1:44">
      <c r="A13" s="122"/>
      <c r="B13" s="129" t="s">
        <v>280</v>
      </c>
      <c r="C13" s="3"/>
      <c r="D13" s="130">
        <f>SUM(D7:D12)</f>
        <v>100</v>
      </c>
      <c r="E13" s="131"/>
      <c r="F13" s="130">
        <f>SUM(F7:F12)</f>
        <v>69938.39</v>
      </c>
      <c r="G13" s="131"/>
      <c r="H13" s="131"/>
      <c r="I13" s="131"/>
      <c r="J13" s="131"/>
      <c r="K13" s="131"/>
      <c r="L13" s="130">
        <f>SUM(L7:L12)</f>
        <v>760384.94</v>
      </c>
      <c r="M13" s="131"/>
      <c r="N13" s="131"/>
      <c r="O13" s="131"/>
      <c r="P13" s="130">
        <f>SUM(P7:P12)</f>
        <v>25685</v>
      </c>
      <c r="Q13" s="131"/>
      <c r="R13" s="130">
        <f>SUM(R7:R12)</f>
        <v>950000</v>
      </c>
      <c r="S13" s="131"/>
      <c r="T13" s="130">
        <f>SUM(T7:T12)</f>
        <v>112480</v>
      </c>
      <c r="U13" s="131"/>
      <c r="V13" s="130">
        <f>SUM(V7:V12)</f>
        <v>5000</v>
      </c>
      <c r="W13" s="131"/>
      <c r="X13" s="131"/>
      <c r="Y13" s="130">
        <f>SUM(Y7:Y12)</f>
        <v>1118849</v>
      </c>
      <c r="Z13" s="131"/>
      <c r="AA13" s="130">
        <f>SUM(AA7:AA12)</f>
        <v>676602.26</v>
      </c>
      <c r="AB13" s="131"/>
      <c r="AC13" s="130">
        <f>SUM(AC7:AC12)</f>
        <v>155665.25</v>
      </c>
      <c r="AD13" s="130">
        <f>SUM(AD7:AD12)</f>
        <v>5946.18</v>
      </c>
      <c r="AE13" s="131"/>
      <c r="AF13" s="130">
        <f>SUM(AF7:AF12)-SUM(AG7:AG12)</f>
        <v>2924</v>
      </c>
      <c r="AG13" s="131"/>
      <c r="AH13" s="130">
        <f>SUM(AH7:AH12)</f>
        <v>5702</v>
      </c>
      <c r="AJ13" s="130">
        <f>SUM(AJ7:AJ12)</f>
        <v>15000</v>
      </c>
      <c r="AK13" s="131"/>
      <c r="AL13" s="131"/>
      <c r="AM13" s="130">
        <f>SUM(AM7:AM12)-SUM(AL7:AL12)</f>
        <v>2044</v>
      </c>
      <c r="AN13" s="130">
        <f>SUM(AN7:AN12)</f>
        <v>30200.18</v>
      </c>
      <c r="AO13" s="130">
        <f>SUM(AO7:AO12)</f>
        <v>30200.18</v>
      </c>
      <c r="AP13" s="113">
        <f t="shared" si="0"/>
        <v>6.5483618527650833E-11</v>
      </c>
      <c r="AQ13" s="174" t="s">
        <v>365</v>
      </c>
      <c r="AR13" s="145"/>
    </row>
    <row r="14" spans="1:44">
      <c r="A14" s="134">
        <v>38718</v>
      </c>
      <c r="B14" s="129" t="s">
        <v>251</v>
      </c>
      <c r="C14" s="129">
        <v>1</v>
      </c>
      <c r="D14" s="135"/>
      <c r="E14" s="135"/>
      <c r="F14" s="135"/>
      <c r="G14" s="135"/>
      <c r="H14" s="135"/>
      <c r="I14" s="146">
        <v>2044</v>
      </c>
      <c r="J14" s="135"/>
      <c r="K14" s="135"/>
      <c r="L14" s="131"/>
      <c r="M14" s="132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>
        <v>2044</v>
      </c>
      <c r="AM14" s="136"/>
      <c r="AN14" s="136"/>
      <c r="AO14" s="136"/>
      <c r="AP14" s="113">
        <f t="shared" si="0"/>
        <v>0</v>
      </c>
    </row>
    <row r="15" spans="1:44">
      <c r="A15" s="134">
        <v>38718</v>
      </c>
      <c r="B15" s="129" t="s">
        <v>252</v>
      </c>
      <c r="C15" s="129">
        <v>2</v>
      </c>
      <c r="D15" s="135"/>
      <c r="E15" s="135"/>
      <c r="F15" s="135"/>
      <c r="G15" s="146">
        <v>1022</v>
      </c>
      <c r="H15" s="135">
        <v>1022</v>
      </c>
      <c r="I15" s="135"/>
      <c r="J15" s="135"/>
      <c r="K15" s="135"/>
      <c r="L15" s="131"/>
      <c r="M15" s="132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13">
        <f t="shared" ref="AP15:AP44" si="1">D15-E15+F15-G15+H15-I15+J15-K15+L15-M15+N15-O15+P15-Q15+R15-S15+T15-U15+V15-W15+X15-Y15+Z15-AA15+AB15-AC15+AD15-AE15+AF15-AG15+AH15-AI15+AJ15-AK15+AL15-AM15+AN15-AO15</f>
        <v>0</v>
      </c>
      <c r="AQ15" s="41"/>
    </row>
    <row r="16" spans="1:44">
      <c r="A16" s="134">
        <v>38808</v>
      </c>
      <c r="B16" s="129" t="s">
        <v>253</v>
      </c>
      <c r="C16" s="129">
        <v>3</v>
      </c>
      <c r="D16" s="135"/>
      <c r="E16" s="135"/>
      <c r="F16" s="135"/>
      <c r="G16" s="135">
        <v>807</v>
      </c>
      <c r="H16" s="135">
        <v>807</v>
      </c>
      <c r="I16" s="135"/>
      <c r="J16" s="135"/>
      <c r="K16" s="135"/>
      <c r="L16" s="131"/>
      <c r="M16" s="132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13">
        <f t="shared" si="1"/>
        <v>0</v>
      </c>
      <c r="AQ16" s="41"/>
    </row>
    <row r="17" spans="1:43">
      <c r="A17" s="134">
        <v>38722</v>
      </c>
      <c r="B17" s="129" t="s">
        <v>254</v>
      </c>
      <c r="C17" s="129">
        <v>4</v>
      </c>
      <c r="D17" s="135"/>
      <c r="E17" s="135"/>
      <c r="F17" s="135"/>
      <c r="G17" s="146">
        <v>1467.41</v>
      </c>
      <c r="H17" s="135">
        <v>1467.41</v>
      </c>
      <c r="I17" s="135"/>
      <c r="J17" s="135"/>
      <c r="K17" s="135"/>
      <c r="L17" s="131"/>
      <c r="M17" s="132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13">
        <f t="shared" si="1"/>
        <v>0</v>
      </c>
      <c r="AQ17" s="41"/>
    </row>
    <row r="18" spans="1:43">
      <c r="A18" s="134">
        <v>38859</v>
      </c>
      <c r="B18" s="129" t="s">
        <v>311</v>
      </c>
      <c r="C18" s="129">
        <v>5</v>
      </c>
      <c r="D18" s="135"/>
      <c r="E18" s="135"/>
      <c r="F18" s="135"/>
      <c r="G18" s="135">
        <v>250</v>
      </c>
      <c r="H18" s="135">
        <v>250</v>
      </c>
      <c r="I18" s="135"/>
      <c r="J18" s="135"/>
      <c r="K18" s="135"/>
      <c r="L18" s="131"/>
      <c r="M18" s="132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13">
        <f t="shared" si="1"/>
        <v>0</v>
      </c>
      <c r="AQ18" s="137"/>
    </row>
    <row r="19" spans="1:43">
      <c r="A19" s="134">
        <v>38859</v>
      </c>
      <c r="B19" s="129" t="s">
        <v>255</v>
      </c>
      <c r="C19" s="129">
        <v>6</v>
      </c>
      <c r="D19" s="135"/>
      <c r="E19" s="135"/>
      <c r="F19" s="135"/>
      <c r="G19" s="146">
        <v>142</v>
      </c>
      <c r="H19" s="135">
        <v>142</v>
      </c>
      <c r="I19" s="135"/>
      <c r="J19" s="135"/>
      <c r="K19" s="135"/>
      <c r="L19" s="131"/>
      <c r="M19" s="132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13">
        <f t="shared" si="1"/>
        <v>0</v>
      </c>
    </row>
    <row r="20" spans="1:43">
      <c r="A20" s="134">
        <v>38860</v>
      </c>
      <c r="B20" s="129" t="s">
        <v>256</v>
      </c>
      <c r="C20" s="129">
        <v>7</v>
      </c>
      <c r="D20" s="135"/>
      <c r="E20" s="135"/>
      <c r="F20" s="135"/>
      <c r="G20" s="135">
        <v>2500</v>
      </c>
      <c r="H20" s="135">
        <v>2500</v>
      </c>
      <c r="I20" s="135"/>
      <c r="J20" s="135"/>
      <c r="K20" s="135"/>
      <c r="L20" s="131"/>
      <c r="M20" s="132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13">
        <f t="shared" si="1"/>
        <v>0</v>
      </c>
    </row>
    <row r="21" spans="1:43">
      <c r="A21" s="134">
        <v>38868</v>
      </c>
      <c r="B21" s="129" t="s">
        <v>257</v>
      </c>
      <c r="C21" s="129">
        <v>8</v>
      </c>
      <c r="D21" s="135"/>
      <c r="E21" s="135"/>
      <c r="F21" s="135">
        <v>600</v>
      </c>
      <c r="G21" s="135"/>
      <c r="H21" s="135"/>
      <c r="I21" s="135"/>
      <c r="J21" s="135"/>
      <c r="K21" s="135">
        <v>600</v>
      </c>
      <c r="L21" s="131"/>
      <c r="M21" s="132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13">
        <f t="shared" si="1"/>
        <v>0</v>
      </c>
    </row>
    <row r="22" spans="1:43">
      <c r="A22" s="134">
        <v>38868</v>
      </c>
      <c r="B22" s="129" t="s">
        <v>258</v>
      </c>
      <c r="C22" s="129">
        <v>9</v>
      </c>
      <c r="D22" s="135"/>
      <c r="E22" s="135"/>
      <c r="F22" s="135">
        <v>10500</v>
      </c>
      <c r="G22" s="135"/>
      <c r="H22" s="135"/>
      <c r="I22" s="135"/>
      <c r="J22" s="135"/>
      <c r="K22" s="135">
        <v>10500</v>
      </c>
      <c r="L22" s="131"/>
      <c r="M22" s="132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13">
        <f t="shared" si="1"/>
        <v>0</v>
      </c>
    </row>
    <row r="23" spans="1:43">
      <c r="A23" s="134">
        <v>38868</v>
      </c>
      <c r="B23" s="129" t="s">
        <v>258</v>
      </c>
      <c r="C23" s="129">
        <v>10</v>
      </c>
      <c r="D23" s="135"/>
      <c r="E23" s="135"/>
      <c r="F23" s="135">
        <v>10502</v>
      </c>
      <c r="G23" s="135"/>
      <c r="H23" s="135"/>
      <c r="I23" s="135"/>
      <c r="J23" s="135"/>
      <c r="K23" s="135">
        <v>10502</v>
      </c>
      <c r="L23" s="131"/>
      <c r="M23" s="132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13">
        <f t="shared" si="1"/>
        <v>0</v>
      </c>
    </row>
    <row r="24" spans="1:43">
      <c r="A24" s="134">
        <v>38890</v>
      </c>
      <c r="B24" s="129" t="s">
        <v>259</v>
      </c>
      <c r="C24" s="129">
        <v>11</v>
      </c>
      <c r="D24" s="135"/>
      <c r="E24" s="135"/>
      <c r="F24" s="135"/>
      <c r="G24" s="146">
        <v>993</v>
      </c>
      <c r="H24" s="135">
        <v>993</v>
      </c>
      <c r="I24" s="135"/>
      <c r="J24" s="135"/>
      <c r="K24" s="135"/>
      <c r="L24" s="131"/>
      <c r="M24" s="132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13">
        <f t="shared" si="1"/>
        <v>0</v>
      </c>
    </row>
    <row r="25" spans="1:43">
      <c r="A25" s="134">
        <v>38890</v>
      </c>
      <c r="B25" s="129" t="s">
        <v>260</v>
      </c>
      <c r="C25" s="129">
        <v>12</v>
      </c>
      <c r="D25" s="135"/>
      <c r="E25" s="135"/>
      <c r="F25" s="135"/>
      <c r="G25" s="146">
        <v>1040</v>
      </c>
      <c r="H25" s="135">
        <v>1040</v>
      </c>
      <c r="I25" s="135"/>
      <c r="J25" s="135"/>
      <c r="K25" s="135"/>
      <c r="L25" s="131"/>
      <c r="M25" s="132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13">
        <f t="shared" si="1"/>
        <v>0</v>
      </c>
    </row>
    <row r="26" spans="1:43">
      <c r="A26" s="134">
        <v>38959</v>
      </c>
      <c r="B26" s="129" t="s">
        <v>261</v>
      </c>
      <c r="C26" s="129">
        <v>13</v>
      </c>
      <c r="D26" s="135"/>
      <c r="E26" s="135"/>
      <c r="F26" s="135"/>
      <c r="G26" s="135">
        <v>990</v>
      </c>
      <c r="H26" s="135">
        <v>990</v>
      </c>
      <c r="I26" s="135"/>
      <c r="J26" s="135"/>
      <c r="K26" s="135"/>
      <c r="L26" s="131"/>
      <c r="M26" s="132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13">
        <f t="shared" si="1"/>
        <v>0</v>
      </c>
    </row>
    <row r="27" spans="1:43">
      <c r="A27" s="134">
        <v>38959</v>
      </c>
      <c r="B27" s="129" t="s">
        <v>262</v>
      </c>
      <c r="C27" s="129">
        <v>14</v>
      </c>
      <c r="D27" s="135"/>
      <c r="E27" s="135"/>
      <c r="F27" s="135">
        <v>1500</v>
      </c>
      <c r="G27" s="135"/>
      <c r="H27" s="135"/>
      <c r="I27" s="135"/>
      <c r="J27" s="135"/>
      <c r="K27" s="135">
        <v>1500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13">
        <f t="shared" si="1"/>
        <v>0</v>
      </c>
    </row>
    <row r="28" spans="1:43">
      <c r="A28" s="134">
        <v>38985</v>
      </c>
      <c r="B28" s="129" t="s">
        <v>304</v>
      </c>
      <c r="C28" s="129">
        <v>15</v>
      </c>
      <c r="D28" s="135"/>
      <c r="E28" s="135"/>
      <c r="F28" s="135"/>
      <c r="G28" s="135">
        <v>807</v>
      </c>
      <c r="H28" s="135">
        <v>807</v>
      </c>
      <c r="I28" s="135"/>
      <c r="J28" s="135"/>
      <c r="K28" s="135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13">
        <f t="shared" si="1"/>
        <v>0</v>
      </c>
    </row>
    <row r="29" spans="1:43">
      <c r="A29" s="134">
        <v>39006</v>
      </c>
      <c r="B29" s="129" t="s">
        <v>263</v>
      </c>
      <c r="C29" s="129">
        <v>16</v>
      </c>
      <c r="D29" s="135"/>
      <c r="E29" s="135"/>
      <c r="F29" s="135"/>
      <c r="G29" s="135">
        <v>3000</v>
      </c>
      <c r="H29" s="135"/>
      <c r="I29" s="135"/>
      <c r="J29" s="135"/>
      <c r="K29" s="135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6"/>
      <c r="Y29" s="136"/>
      <c r="Z29" s="136"/>
      <c r="AA29" s="136"/>
      <c r="AB29" s="136"/>
      <c r="AC29" s="136"/>
      <c r="AD29" s="136">
        <v>3000</v>
      </c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13">
        <f t="shared" si="1"/>
        <v>0</v>
      </c>
    </row>
    <row r="30" spans="1:43">
      <c r="A30" s="134">
        <v>39056</v>
      </c>
      <c r="B30" s="129" t="s">
        <v>264</v>
      </c>
      <c r="C30" s="129">
        <v>17</v>
      </c>
      <c r="D30" s="135"/>
      <c r="E30" s="135"/>
      <c r="F30" s="135"/>
      <c r="G30" s="135">
        <v>142</v>
      </c>
      <c r="H30" s="135">
        <v>142</v>
      </c>
      <c r="I30" s="135"/>
      <c r="J30" s="135"/>
      <c r="K30" s="135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13">
        <f t="shared" si="1"/>
        <v>0</v>
      </c>
    </row>
    <row r="31" spans="1:43">
      <c r="A31" s="138" t="s">
        <v>265</v>
      </c>
      <c r="B31" s="129" t="s">
        <v>266</v>
      </c>
      <c r="C31" s="129">
        <v>18</v>
      </c>
      <c r="D31" s="135"/>
      <c r="E31" s="135"/>
      <c r="F31" s="135"/>
      <c r="G31" s="135">
        <v>2106.25</v>
      </c>
      <c r="H31" s="135">
        <v>2106.25</v>
      </c>
      <c r="I31" s="135"/>
      <c r="J31" s="135"/>
      <c r="K31" s="135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13">
        <f t="shared" si="1"/>
        <v>0</v>
      </c>
    </row>
    <row r="32" spans="1:43">
      <c r="A32" s="138" t="s">
        <v>267</v>
      </c>
      <c r="B32" s="129" t="s">
        <v>268</v>
      </c>
      <c r="C32" s="129">
        <v>19</v>
      </c>
      <c r="D32" s="135"/>
      <c r="E32" s="135"/>
      <c r="F32" s="135"/>
      <c r="G32" s="135">
        <v>281</v>
      </c>
      <c r="H32" s="135">
        <v>281</v>
      </c>
      <c r="I32" s="135"/>
      <c r="J32" s="135"/>
      <c r="K32" s="135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13">
        <f t="shared" si="1"/>
        <v>0</v>
      </c>
    </row>
    <row r="33" spans="1:43">
      <c r="A33" s="138" t="s">
        <v>267</v>
      </c>
      <c r="B33" s="129" t="s">
        <v>46</v>
      </c>
      <c r="C33" s="129">
        <v>20</v>
      </c>
      <c r="D33" s="135"/>
      <c r="E33" s="135"/>
      <c r="F33" s="135">
        <v>54.53</v>
      </c>
      <c r="G33" s="135"/>
      <c r="H33" s="135"/>
      <c r="I33" s="135"/>
      <c r="J33" s="135"/>
      <c r="K33" s="135"/>
      <c r="L33" s="131"/>
      <c r="M33" s="131"/>
      <c r="N33" s="131"/>
      <c r="O33" s="135">
        <v>54.53</v>
      </c>
      <c r="P33" s="131"/>
      <c r="Q33" s="131"/>
      <c r="R33" s="131"/>
      <c r="S33" s="131"/>
      <c r="T33" s="131"/>
      <c r="U33" s="131"/>
      <c r="V33" s="131"/>
      <c r="W33" s="131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13">
        <f t="shared" si="1"/>
        <v>0</v>
      </c>
    </row>
    <row r="34" spans="1:43">
      <c r="A34" s="138" t="s">
        <v>267</v>
      </c>
      <c r="B34" s="129" t="s">
        <v>269</v>
      </c>
      <c r="C34" s="129">
        <v>21</v>
      </c>
      <c r="D34" s="135"/>
      <c r="E34" s="135"/>
      <c r="F34" s="135">
        <v>3.69</v>
      </c>
      <c r="G34" s="135"/>
      <c r="H34" s="135"/>
      <c r="I34" s="135">
        <v>3.69</v>
      </c>
      <c r="J34" s="135"/>
      <c r="K34" s="135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13">
        <f t="shared" si="1"/>
        <v>0</v>
      </c>
    </row>
    <row r="35" spans="1:43">
      <c r="A35" s="139" t="s">
        <v>270</v>
      </c>
      <c r="B35" s="129" t="s">
        <v>271</v>
      </c>
      <c r="C35" s="129">
        <v>22</v>
      </c>
      <c r="D35" s="135"/>
      <c r="E35" s="135"/>
      <c r="F35" s="135"/>
      <c r="G35" s="135">
        <v>5000</v>
      </c>
      <c r="H35" s="135"/>
      <c r="I35" s="135"/>
      <c r="J35" s="135"/>
      <c r="K35" s="135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6"/>
      <c r="Y35" s="136"/>
      <c r="Z35" s="136"/>
      <c r="AA35" s="136"/>
      <c r="AB35" s="136"/>
      <c r="AC35" s="136"/>
      <c r="AD35" s="136">
        <v>5000</v>
      </c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13">
        <f t="shared" si="1"/>
        <v>0</v>
      </c>
    </row>
    <row r="36" spans="1:43">
      <c r="A36" s="139" t="s">
        <v>272</v>
      </c>
      <c r="B36" s="129" t="s">
        <v>273</v>
      </c>
      <c r="C36" s="129">
        <v>23</v>
      </c>
      <c r="D36" s="135"/>
      <c r="E36" s="135"/>
      <c r="F36" s="135"/>
      <c r="G36" s="135">
        <v>50000</v>
      </c>
      <c r="H36" s="135"/>
      <c r="I36" s="135"/>
      <c r="J36" s="135"/>
      <c r="K36" s="135"/>
      <c r="L36" s="131">
        <v>50000</v>
      </c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13">
        <f t="shared" si="1"/>
        <v>0</v>
      </c>
    </row>
    <row r="37" spans="1:43">
      <c r="A37" s="134" t="s">
        <v>274</v>
      </c>
      <c r="B37" s="129" t="s">
        <v>275</v>
      </c>
      <c r="C37" s="129">
        <v>24</v>
      </c>
      <c r="D37" s="135"/>
      <c r="E37" s="135"/>
      <c r="F37" s="135">
        <v>5700</v>
      </c>
      <c r="G37" s="135"/>
      <c r="H37" s="135"/>
      <c r="I37" s="135"/>
      <c r="J37" s="135"/>
      <c r="K37" s="135">
        <v>5700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13">
        <f t="shared" si="1"/>
        <v>0</v>
      </c>
    </row>
    <row r="38" spans="1:43">
      <c r="A38" s="139">
        <v>38868</v>
      </c>
      <c r="B38" s="129" t="s">
        <v>276</v>
      </c>
      <c r="C38" s="129">
        <v>25</v>
      </c>
      <c r="D38" s="135"/>
      <c r="E38" s="135"/>
      <c r="F38" s="135">
        <v>3000</v>
      </c>
      <c r="G38" s="135"/>
      <c r="H38" s="135"/>
      <c r="I38" s="135"/>
      <c r="J38" s="135"/>
      <c r="K38" s="135">
        <v>3000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13">
        <f t="shared" si="1"/>
        <v>0</v>
      </c>
    </row>
    <row r="39" spans="1:43">
      <c r="A39" s="139">
        <v>39082</v>
      </c>
      <c r="B39" s="129" t="s">
        <v>277</v>
      </c>
      <c r="C39" s="129">
        <v>26</v>
      </c>
      <c r="D39" s="135"/>
      <c r="E39" s="135"/>
      <c r="F39" s="135"/>
      <c r="G39" s="135"/>
      <c r="H39" s="135"/>
      <c r="I39" s="135"/>
      <c r="J39" s="135"/>
      <c r="K39" s="135"/>
      <c r="L39" s="131">
        <v>21854</v>
      </c>
      <c r="M39" s="131"/>
      <c r="N39" s="131"/>
      <c r="O39" s="131">
        <v>21854</v>
      </c>
      <c r="P39" s="131"/>
      <c r="Q39" s="131"/>
      <c r="R39" s="131"/>
      <c r="S39" s="131"/>
      <c r="T39" s="131"/>
      <c r="U39" s="131"/>
      <c r="V39" s="131"/>
      <c r="W39" s="131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13">
        <f t="shared" si="1"/>
        <v>0</v>
      </c>
    </row>
    <row r="40" spans="1:43">
      <c r="A40" s="139">
        <v>39082</v>
      </c>
      <c r="B40" s="129" t="s">
        <v>278</v>
      </c>
      <c r="C40" s="129">
        <v>27</v>
      </c>
      <c r="D40" s="135"/>
      <c r="E40" s="135"/>
      <c r="F40" s="135"/>
      <c r="G40" s="135"/>
      <c r="H40" s="135">
        <v>12842</v>
      </c>
      <c r="J40" s="135"/>
      <c r="K40" s="135"/>
      <c r="L40" s="131"/>
      <c r="M40" s="131"/>
      <c r="N40" s="131"/>
      <c r="O40" s="131"/>
      <c r="P40" s="131"/>
      <c r="Q40" s="131">
        <v>12842</v>
      </c>
      <c r="R40" s="131"/>
      <c r="S40" s="131"/>
      <c r="T40" s="131"/>
      <c r="U40" s="131"/>
      <c r="V40" s="131"/>
      <c r="W40" s="131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13">
        <f t="shared" si="1"/>
        <v>0</v>
      </c>
    </row>
    <row r="41" spans="1:43">
      <c r="A41" s="139">
        <v>39082</v>
      </c>
      <c r="B41" s="129" t="s">
        <v>286</v>
      </c>
      <c r="C41" s="129">
        <v>28</v>
      </c>
      <c r="D41" s="135"/>
      <c r="E41" s="135"/>
      <c r="F41" s="135"/>
      <c r="G41" s="135"/>
      <c r="H41" s="135">
        <v>5000</v>
      </c>
      <c r="I41" s="135"/>
      <c r="J41" s="135"/>
      <c r="K41" s="135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>
        <v>5000</v>
      </c>
      <c r="AJ41" s="136"/>
      <c r="AK41" s="136"/>
      <c r="AL41" s="136"/>
      <c r="AM41" s="136"/>
      <c r="AN41" s="136"/>
      <c r="AO41" s="136"/>
      <c r="AP41" s="113">
        <f t="shared" si="1"/>
        <v>0</v>
      </c>
    </row>
    <row r="42" spans="1:43">
      <c r="A42" s="139">
        <v>39082</v>
      </c>
      <c r="B42" s="129" t="s">
        <v>301</v>
      </c>
      <c r="C42" s="129">
        <v>29</v>
      </c>
      <c r="D42" s="135"/>
      <c r="E42" s="135"/>
      <c r="F42" s="135"/>
      <c r="G42" s="135"/>
      <c r="H42" s="135">
        <v>4482</v>
      </c>
      <c r="I42" s="135"/>
      <c r="J42" s="135"/>
      <c r="K42" s="135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6"/>
      <c r="Y42" s="136"/>
      <c r="Z42" s="136"/>
      <c r="AA42" s="136"/>
      <c r="AB42" s="136"/>
      <c r="AC42" s="136"/>
      <c r="AD42" s="136"/>
      <c r="AE42" s="136">
        <v>4482</v>
      </c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13">
        <f t="shared" si="1"/>
        <v>0</v>
      </c>
    </row>
    <row r="43" spans="1:43">
      <c r="A43" s="140"/>
      <c r="B43" s="45" t="s">
        <v>41</v>
      </c>
      <c r="C43" s="45"/>
      <c r="D43" s="141">
        <f>SUM(D13:D42)</f>
        <v>100</v>
      </c>
      <c r="E43" s="141"/>
      <c r="F43" s="141">
        <f>SUM(F13:F42)</f>
        <v>101798.61</v>
      </c>
      <c r="G43" s="141"/>
      <c r="H43" s="141">
        <f>SUM(H13:H42)</f>
        <v>34871.660000000003</v>
      </c>
      <c r="I43" s="141"/>
      <c r="J43" s="141">
        <f>SUM(J13:J42)</f>
        <v>0</v>
      </c>
      <c r="K43" s="141"/>
      <c r="L43" s="141">
        <f>SUM(L13:L42)</f>
        <v>832238.94</v>
      </c>
      <c r="M43" s="141"/>
      <c r="N43" s="141">
        <f>SUM(N13:N42)</f>
        <v>0</v>
      </c>
      <c r="O43" s="141"/>
      <c r="P43" s="141">
        <f>SUM(P13:P42)</f>
        <v>25685</v>
      </c>
      <c r="Q43" s="141"/>
      <c r="R43" s="141">
        <f>SUM(R13:R42)</f>
        <v>950000</v>
      </c>
      <c r="S43" s="141"/>
      <c r="T43" s="141">
        <f>SUM(T13:T42)</f>
        <v>112480</v>
      </c>
      <c r="U43" s="141"/>
      <c r="V43" s="141">
        <f>SUM(V13:V42)</f>
        <v>5000</v>
      </c>
      <c r="W43" s="141"/>
      <c r="X43" s="141">
        <f>SUM(X13:X42)</f>
        <v>0</v>
      </c>
      <c r="Y43" s="141"/>
      <c r="Z43" s="141">
        <f>SUM(Z13:Z42)</f>
        <v>0</v>
      </c>
      <c r="AA43" s="141"/>
      <c r="AB43" s="141">
        <f>SUM(AB13:AB42)</f>
        <v>0</v>
      </c>
      <c r="AC43" s="141"/>
      <c r="AD43" s="141">
        <f>SUM(AD13:AD42)</f>
        <v>13946.18</v>
      </c>
      <c r="AE43" s="141"/>
      <c r="AF43" s="141">
        <f>SUM(AF13:AF42)</f>
        <v>2924</v>
      </c>
      <c r="AG43" s="141"/>
      <c r="AH43" s="141">
        <f>SUM(AH13:AH42)</f>
        <v>5702</v>
      </c>
      <c r="AI43" s="141"/>
      <c r="AJ43" s="141">
        <f>SUM(AJ13:AJ42)</f>
        <v>15000</v>
      </c>
      <c r="AK43" s="141"/>
      <c r="AL43" s="141">
        <f>SUM(AL13:AL42)</f>
        <v>2044</v>
      </c>
      <c r="AM43" s="141"/>
      <c r="AN43" s="141">
        <f>SUM(AN13:AN42)</f>
        <v>30200.18</v>
      </c>
      <c r="AO43" s="141"/>
      <c r="AP43" s="113">
        <f t="shared" si="1"/>
        <v>2131990.5699999998</v>
      </c>
      <c r="AQ43" t="s">
        <v>28</v>
      </c>
    </row>
    <row r="44" spans="1:43">
      <c r="A44" s="140"/>
      <c r="B44" s="20" t="s">
        <v>42</v>
      </c>
      <c r="C44" s="20"/>
      <c r="D44" s="142"/>
      <c r="E44" s="142">
        <f>SUM(E13:E42)</f>
        <v>0</v>
      </c>
      <c r="F44" s="142"/>
      <c r="G44" s="142">
        <f>SUM(G13:G42)</f>
        <v>70547.66</v>
      </c>
      <c r="H44" s="142"/>
      <c r="I44" s="142">
        <f>SUM(I13:I42)</f>
        <v>2047.69</v>
      </c>
      <c r="J44" s="142"/>
      <c r="K44" s="142">
        <f>SUM(K13:K42)</f>
        <v>31802</v>
      </c>
      <c r="L44" s="142"/>
      <c r="M44" s="142">
        <f>SUM(M13:M42)</f>
        <v>0</v>
      </c>
      <c r="N44" s="142"/>
      <c r="O44" s="142">
        <f>SUM(O13:O42)</f>
        <v>21908.53</v>
      </c>
      <c r="P44" s="142"/>
      <c r="Q44" s="142">
        <f>SUM(Q13:Q42)</f>
        <v>12842</v>
      </c>
      <c r="R44" s="142"/>
      <c r="S44" s="142">
        <f>SUM(S13:S42)</f>
        <v>0</v>
      </c>
      <c r="T44" s="142"/>
      <c r="U44" s="142">
        <f>SUM(U13:U42)</f>
        <v>0</v>
      </c>
      <c r="V44" s="142"/>
      <c r="W44" s="142">
        <f>SUM(W13:W42)</f>
        <v>0</v>
      </c>
      <c r="X44" s="142"/>
      <c r="Y44" s="142">
        <f>SUM(Y13:Y42)</f>
        <v>1118849</v>
      </c>
      <c r="Z44" s="142"/>
      <c r="AA44" s="142">
        <f>SUM(AA13:AA42)</f>
        <v>676602.26</v>
      </c>
      <c r="AB44" s="142"/>
      <c r="AC44" s="142">
        <f>SUM(AC13:AC42)</f>
        <v>155665.25</v>
      </c>
      <c r="AD44" s="142"/>
      <c r="AE44" s="142">
        <f>SUM(AE13:AE42)</f>
        <v>4482</v>
      </c>
      <c r="AF44" s="142"/>
      <c r="AG44" s="142">
        <f>SUM(AG13:AG42)</f>
        <v>0</v>
      </c>
      <c r="AH44" s="142"/>
      <c r="AI44" s="142">
        <f>SUM(AI13:AI42)</f>
        <v>5000</v>
      </c>
      <c r="AJ44" s="142"/>
      <c r="AK44" s="142">
        <f>SUM(AK13:AK42)</f>
        <v>0</v>
      </c>
      <c r="AL44" s="142"/>
      <c r="AM44" s="142">
        <f>SUM(AM13:AM42)</f>
        <v>2044</v>
      </c>
      <c r="AN44" s="142"/>
      <c r="AO44" s="142">
        <f>SUM(AO13:AO42)</f>
        <v>30200.18</v>
      </c>
      <c r="AP44" s="113">
        <f t="shared" si="1"/>
        <v>-2131990.5699999998</v>
      </c>
      <c r="AQ44" s="79" t="s">
        <v>29</v>
      </c>
    </row>
    <row r="45" spans="1:43">
      <c r="A45" s="140"/>
      <c r="B45" s="157" t="s">
        <v>197</v>
      </c>
      <c r="C45" s="20"/>
      <c r="D45" s="143">
        <f>IF(D43&gt;=E44,D43-E44,"")</f>
        <v>100</v>
      </c>
      <c r="E45" s="143" t="str">
        <f>IF(D43&lt;E44,E44-D43,"")</f>
        <v/>
      </c>
      <c r="F45" s="143">
        <f>IF(F43&gt;=G44,F43-G44,"")</f>
        <v>31250.949999999997</v>
      </c>
      <c r="G45" s="143" t="str">
        <f>IF(F43&lt;G44,G44-F43,"")</f>
        <v/>
      </c>
      <c r="H45" s="143">
        <f>IF(H43&gt;=I44,H43-I44,"")</f>
        <v>32823.97</v>
      </c>
      <c r="I45" s="143" t="str">
        <f>IF(H43&lt;I44,I44-H43,"")</f>
        <v/>
      </c>
      <c r="J45" s="143" t="str">
        <f>IF(J43&gt;=K44,J43-K44,"")</f>
        <v/>
      </c>
      <c r="K45" s="143">
        <f>IF(J43&lt;K44,K44-J43,"")</f>
        <v>31802</v>
      </c>
      <c r="L45" s="143">
        <f>IF(L43&gt;=M44,L43-M44,"")</f>
        <v>832238.94</v>
      </c>
      <c r="M45" s="143" t="str">
        <f>IF(L43&lt;M44,M44-L43,"")</f>
        <v/>
      </c>
      <c r="N45" s="143" t="str">
        <f>IF(N43&gt;=O44,N43-O44,"")</f>
        <v/>
      </c>
      <c r="O45" s="143">
        <f>IF(N43&lt;O44,O44-N43,"")</f>
        <v>21908.53</v>
      </c>
      <c r="P45" s="143">
        <f>IF(P43&gt;=Q44,P43-Q44,"")</f>
        <v>12843</v>
      </c>
      <c r="Q45" s="143" t="str">
        <f>IF(P43&lt;Q44,Q44-P43,"")</f>
        <v/>
      </c>
      <c r="R45" s="143">
        <f>IF(R43&gt;=S44,R43-S44,"")</f>
        <v>950000</v>
      </c>
      <c r="S45" s="143" t="str">
        <f>IF(R43&lt;S44,S44-R43,"")</f>
        <v/>
      </c>
      <c r="T45" s="143">
        <f>IF(T43&gt;=U44,T43-U44,"")</f>
        <v>112480</v>
      </c>
      <c r="U45" s="143" t="str">
        <f>IF(T43&lt;U44,U44-T43,"")</f>
        <v/>
      </c>
      <c r="V45" s="143">
        <f>IF(V43&gt;=W44,V43-W44,"")</f>
        <v>5000</v>
      </c>
      <c r="W45" s="143" t="str">
        <f>IF(V43&lt;W44,W44-V43,"")</f>
        <v/>
      </c>
      <c r="X45" s="143" t="str">
        <f>IF(X43&gt;=Y44,X43-Y44,"")</f>
        <v/>
      </c>
      <c r="Y45" s="143">
        <f>IF(X43&lt;Y44,Y44-X43,"")</f>
        <v>1118849</v>
      </c>
      <c r="Z45" s="143" t="str">
        <f>IF(Z43&gt;=AA44,Z43-AA44,"")</f>
        <v/>
      </c>
      <c r="AA45" s="143">
        <f>IF(Z43&lt;AA44,AA44-Z43,"")</f>
        <v>676602.26</v>
      </c>
      <c r="AB45" s="143" t="str">
        <f>IF(AB43&gt;=AC44,AB43-AC44,"")</f>
        <v/>
      </c>
      <c r="AC45" s="143">
        <f>IF(AB43&lt;AC44,AC44-AB43,"")</f>
        <v>155665.25</v>
      </c>
      <c r="AD45" s="143">
        <f>IF(AD43&gt;=AE44,AD43-AE44,"")</f>
        <v>9464.18</v>
      </c>
      <c r="AE45" s="143" t="str">
        <f>IF(AD43&lt;AE44,AE44-AD43,"")</f>
        <v/>
      </c>
      <c r="AF45" s="143">
        <f>IF(AF43&gt;=AG44,AF43-AG44,"")</f>
        <v>2924</v>
      </c>
      <c r="AG45" s="143" t="str">
        <f>IF(AF43&lt;AG44,AG44-AF43,"")</f>
        <v/>
      </c>
      <c r="AH45" s="143">
        <f>IF(AH43&gt;=AI44,AH43-AI44,"")</f>
        <v>702</v>
      </c>
      <c r="AI45" s="143" t="str">
        <f>IF(AH43&lt;AI44,AI44-AH43,"")</f>
        <v/>
      </c>
      <c r="AJ45" s="143">
        <f>IF(AJ43&gt;=AK44,AJ43-AK44,"")</f>
        <v>15000</v>
      </c>
      <c r="AK45" s="143" t="str">
        <f>IF(AJ43&lt;AK44,AK44-AJ43,"")</f>
        <v/>
      </c>
      <c r="AL45" s="143">
        <f>IF(AL43&gt;=AM44,AL43-AM44,"")</f>
        <v>0</v>
      </c>
      <c r="AM45" s="143" t="str">
        <f>IF(AL43&lt;AM44,AM44-AL43,"")</f>
        <v/>
      </c>
      <c r="AN45" s="143">
        <f>IF(AN43&gt;=AO44,AN43-AO44,"")</f>
        <v>0</v>
      </c>
      <c r="AO45" s="143" t="str">
        <f>IF(AN43&lt;AO44,AO44-AN43,"")</f>
        <v/>
      </c>
      <c r="AP45" s="113">
        <f>H45-K45-O45</f>
        <v>-20886.559999999998</v>
      </c>
      <c r="AQ45" t="s">
        <v>141</v>
      </c>
    </row>
    <row r="46" spans="1:43">
      <c r="B46" s="61" t="s">
        <v>172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42">
        <v>4381.7060000000001</v>
      </c>
      <c r="AB46" s="142"/>
      <c r="AC46" s="142">
        <v>16504.853999999999</v>
      </c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>
        <f>D46-E46+F46-G46+H46-I46+J46-K46+L46-M46+N46-O46+P46-Q46+R46-S46+T46-U46+V46-W46+X46-Y46+Z46-AA46+AB46-AC46+AD46-AE46+AF46-AG46+AH46-AI46+AJ46-AK46+AL46-AM46+AN46-AO46</f>
        <v>-20886.559999999998</v>
      </c>
    </row>
    <row r="47" spans="1:43">
      <c r="B47" s="20" t="s">
        <v>318</v>
      </c>
      <c r="C47" s="31"/>
      <c r="D47" s="143">
        <f>D45+D46</f>
        <v>100</v>
      </c>
      <c r="E47" s="143"/>
      <c r="F47" s="143">
        <f>F45+F46</f>
        <v>31250.949999999997</v>
      </c>
      <c r="G47" s="143"/>
      <c r="H47" s="143"/>
      <c r="I47" s="143"/>
      <c r="J47" s="143"/>
      <c r="K47" s="143"/>
      <c r="L47" s="143">
        <f>L45+L46</f>
        <v>832238.94</v>
      </c>
      <c r="M47" s="143"/>
      <c r="N47" s="143"/>
      <c r="O47" s="143"/>
      <c r="P47" s="143">
        <f>P45+P46</f>
        <v>12843</v>
      </c>
      <c r="Q47" s="143"/>
      <c r="R47" s="143">
        <f>R45+R46</f>
        <v>950000</v>
      </c>
      <c r="S47" s="143"/>
      <c r="T47" s="143">
        <f>T45+T46</f>
        <v>112480</v>
      </c>
      <c r="U47" s="143"/>
      <c r="V47" s="143">
        <f>V45+V46</f>
        <v>5000</v>
      </c>
      <c r="W47" s="143"/>
      <c r="X47" s="143"/>
      <c r="Y47" s="143">
        <f>Y45+Y46</f>
        <v>1118849</v>
      </c>
      <c r="Z47" s="143"/>
      <c r="AA47" s="143">
        <f>AA45+AA46</f>
        <v>680983.96600000001</v>
      </c>
      <c r="AB47" s="143"/>
      <c r="AC47" s="143">
        <f>AC45+AC46</f>
        <v>172170.10399999999</v>
      </c>
      <c r="AD47" s="143">
        <f>AD45+AD46</f>
        <v>9464.18</v>
      </c>
      <c r="AE47" s="143"/>
      <c r="AF47" s="143">
        <f>AF45+AF46</f>
        <v>2924</v>
      </c>
      <c r="AG47" s="143"/>
      <c r="AH47" s="143">
        <f>AH45+AH46</f>
        <v>702</v>
      </c>
      <c r="AI47" s="143"/>
      <c r="AJ47" s="143">
        <f>AJ45+AJ46</f>
        <v>15000</v>
      </c>
      <c r="AK47" s="143"/>
      <c r="AL47" s="143">
        <f>AL45+AL46</f>
        <v>0</v>
      </c>
      <c r="AM47" s="143"/>
      <c r="AN47" s="143">
        <f>AN45+AN46</f>
        <v>0</v>
      </c>
      <c r="AO47" s="143"/>
      <c r="AP47" s="113">
        <f>D47-E47+F47-G47+H47-I47+J47-K47+L47-M47+N47-O47+P47-Q47+R47-S47+T47-U47+V47-W47+X47-Y47+Z47-AA47+AB47-AC47+AD47-AE47+AF47-AG47+AH47-AI47+AJ47-AK47+AL47-AM47+AN47-AO47</f>
        <v>-1.0913936421275139E-10</v>
      </c>
    </row>
    <row r="48" spans="1:43">
      <c r="G48" s="113"/>
    </row>
    <row r="49" spans="2:11">
      <c r="E49" s="43"/>
      <c r="F49" s="113"/>
    </row>
    <row r="51" spans="2:11" ht="24.75">
      <c r="B51" s="147" t="s">
        <v>316</v>
      </c>
      <c r="F51" s="113"/>
    </row>
    <row r="53" spans="2:11" ht="19.5">
      <c r="B53" s="148" t="s">
        <v>51</v>
      </c>
      <c r="C53" s="148"/>
      <c r="D53" s="148">
        <v>2006</v>
      </c>
      <c r="E53" s="148">
        <v>2005</v>
      </c>
    </row>
    <row r="54" spans="2:11">
      <c r="B54" s="35"/>
    </row>
    <row r="55" spans="2:11">
      <c r="B55" s="33" t="s">
        <v>52</v>
      </c>
    </row>
    <row r="56" spans="2:11">
      <c r="B56" s="33" t="s">
        <v>53</v>
      </c>
      <c r="H56" s="35"/>
      <c r="J56" s="34"/>
      <c r="K56" s="34"/>
    </row>
    <row r="57" spans="2:11">
      <c r="B57" s="36" t="s">
        <v>54</v>
      </c>
      <c r="D57" s="155">
        <f>D45</f>
        <v>100</v>
      </c>
      <c r="E57" s="155">
        <f>D13</f>
        <v>100</v>
      </c>
      <c r="H57" s="35"/>
      <c r="I57" s="77"/>
      <c r="J57" s="75"/>
      <c r="K57" s="75"/>
    </row>
    <row r="58" spans="2:11">
      <c r="B58" s="36" t="s">
        <v>55</v>
      </c>
      <c r="D58" s="155">
        <f>F45</f>
        <v>31250.949999999997</v>
      </c>
      <c r="E58" s="155">
        <f>F13</f>
        <v>69938.39</v>
      </c>
      <c r="F58" s="77"/>
      <c r="H58" s="64"/>
      <c r="I58" s="77"/>
      <c r="J58" s="75"/>
      <c r="K58" s="75"/>
    </row>
    <row r="59" spans="2:11">
      <c r="B59" s="36" t="s">
        <v>57</v>
      </c>
      <c r="D59" s="155">
        <f>L45</f>
        <v>832238.94</v>
      </c>
      <c r="E59" s="155">
        <f>L13</f>
        <v>760384.94</v>
      </c>
      <c r="F59" s="77"/>
      <c r="H59" s="64"/>
      <c r="I59" s="77"/>
      <c r="J59" s="75"/>
      <c r="K59" s="75"/>
    </row>
    <row r="60" spans="2:11">
      <c r="B60" s="36" t="s">
        <v>58</v>
      </c>
      <c r="C60" t="s">
        <v>80</v>
      </c>
      <c r="D60" s="155">
        <f>AD45</f>
        <v>9464.18</v>
      </c>
      <c r="E60" s="155">
        <f>AD13</f>
        <v>5946.18</v>
      </c>
      <c r="F60" s="77"/>
      <c r="G60" s="77"/>
      <c r="H60" s="64"/>
      <c r="I60" s="77"/>
      <c r="J60" s="75"/>
      <c r="K60" s="75"/>
    </row>
    <row r="61" spans="2:11">
      <c r="B61" s="36" t="s">
        <v>59</v>
      </c>
      <c r="C61" t="s">
        <v>80</v>
      </c>
      <c r="D61" s="155">
        <f>AF45</f>
        <v>2924</v>
      </c>
      <c r="E61" s="155">
        <f>AF13</f>
        <v>2924</v>
      </c>
      <c r="F61" s="77"/>
      <c r="H61" s="64"/>
      <c r="I61" s="77"/>
      <c r="J61" s="75"/>
      <c r="K61" s="75"/>
    </row>
    <row r="62" spans="2:11">
      <c r="B62" s="36" t="s">
        <v>144</v>
      </c>
      <c r="C62" t="s">
        <v>80</v>
      </c>
      <c r="D62" s="155">
        <f>AH45</f>
        <v>702</v>
      </c>
      <c r="E62" s="155">
        <f>AH13</f>
        <v>5702</v>
      </c>
      <c r="F62" s="77"/>
      <c r="G62" s="77"/>
      <c r="H62" s="65"/>
      <c r="I62" s="77"/>
      <c r="J62" s="75"/>
      <c r="K62" s="75"/>
    </row>
    <row r="63" spans="2:11">
      <c r="B63" s="36" t="s">
        <v>145</v>
      </c>
      <c r="D63" s="155">
        <f>AJ45</f>
        <v>15000</v>
      </c>
      <c r="E63" s="155">
        <f>AJ13</f>
        <v>15000</v>
      </c>
      <c r="F63" s="77"/>
      <c r="H63" s="64"/>
      <c r="I63" s="77"/>
      <c r="J63" s="75"/>
      <c r="K63" s="75"/>
    </row>
    <row r="64" spans="2:11" ht="13.5" thickBot="1">
      <c r="B64" s="33" t="s">
        <v>60</v>
      </c>
      <c r="D64" s="156">
        <f>SUM(D57:D63)</f>
        <v>891680.07</v>
      </c>
      <c r="E64" s="156">
        <f>SUM(E57:E63)</f>
        <v>859995.51</v>
      </c>
      <c r="F64" s="37"/>
      <c r="H64" s="64"/>
      <c r="I64" s="77"/>
      <c r="J64" s="75"/>
      <c r="K64" s="75"/>
    </row>
    <row r="65" spans="2:11" ht="13.5" thickTop="1">
      <c r="B65" s="35"/>
      <c r="D65" s="77"/>
      <c r="E65" s="77"/>
      <c r="F65" s="37"/>
      <c r="H65" s="64"/>
      <c r="I65" s="77"/>
      <c r="J65" s="75"/>
      <c r="K65" s="75"/>
    </row>
    <row r="66" spans="2:11">
      <c r="B66" s="35"/>
      <c r="D66" s="77"/>
      <c r="E66" s="94"/>
      <c r="F66" s="37"/>
      <c r="H66" s="64"/>
      <c r="I66" s="77"/>
      <c r="J66" s="75"/>
      <c r="K66" s="75"/>
    </row>
    <row r="67" spans="2:11">
      <c r="B67" s="33" t="s">
        <v>61</v>
      </c>
      <c r="D67" s="77"/>
      <c r="E67" s="77"/>
      <c r="F67" s="37"/>
      <c r="H67" s="64"/>
      <c r="I67" s="77"/>
      <c r="J67" s="75"/>
      <c r="K67" s="75"/>
    </row>
    <row r="68" spans="2:11">
      <c r="B68" s="35" t="s">
        <v>62</v>
      </c>
      <c r="D68" s="155">
        <f>P45</f>
        <v>12843</v>
      </c>
      <c r="E68" s="155">
        <f>P13</f>
        <v>25685</v>
      </c>
      <c r="F68" s="37"/>
      <c r="H68" s="64"/>
      <c r="I68" s="77"/>
      <c r="J68" s="75"/>
      <c r="K68" s="75"/>
    </row>
    <row r="69" spans="2:11">
      <c r="B69" s="35" t="s">
        <v>63</v>
      </c>
      <c r="D69" s="155">
        <f>R45</f>
        <v>950000</v>
      </c>
      <c r="E69" s="155">
        <f>R13</f>
        <v>950000</v>
      </c>
      <c r="F69" s="37"/>
      <c r="H69" s="64"/>
    </row>
    <row r="70" spans="2:11">
      <c r="B70" s="36" t="s">
        <v>64</v>
      </c>
      <c r="D70" s="155">
        <f>T45</f>
        <v>112480</v>
      </c>
      <c r="E70" s="155">
        <f>T13</f>
        <v>112480</v>
      </c>
      <c r="F70" s="37"/>
    </row>
    <row r="71" spans="2:11">
      <c r="B71" s="36" t="s">
        <v>65</v>
      </c>
      <c r="D71" s="155">
        <f>V45</f>
        <v>5000</v>
      </c>
      <c r="E71" s="155">
        <f>V13</f>
        <v>5000</v>
      </c>
      <c r="F71" s="37"/>
    </row>
    <row r="72" spans="2:11" ht="13.5" thickBot="1">
      <c r="B72" s="38" t="s">
        <v>66</v>
      </c>
      <c r="D72" s="156">
        <f>SUM(D68:D71)</f>
        <v>1080323</v>
      </c>
      <c r="E72" s="156">
        <f>SUM(E68:E71)</f>
        <v>1093165</v>
      </c>
      <c r="F72" s="37"/>
    </row>
    <row r="73" spans="2:11" ht="13.5" thickTop="1">
      <c r="B73" s="35"/>
      <c r="D73" s="77"/>
      <c r="E73" s="77"/>
      <c r="F73" s="37"/>
    </row>
    <row r="74" spans="2:11">
      <c r="B74" s="35"/>
      <c r="D74" s="77"/>
      <c r="E74" s="77"/>
      <c r="F74" s="37"/>
    </row>
    <row r="75" spans="2:11" ht="13.5" thickBot="1">
      <c r="B75" s="38" t="s">
        <v>67</v>
      </c>
      <c r="D75" s="156">
        <f>D64+D72</f>
        <v>1972003.0699999998</v>
      </c>
      <c r="E75" s="156">
        <f>E64+E72</f>
        <v>1953160.51</v>
      </c>
      <c r="F75" s="37"/>
      <c r="J75" s="75"/>
      <c r="K75" s="75"/>
    </row>
    <row r="76" spans="2:11" ht="13.5" thickTop="1">
      <c r="B76" s="35"/>
      <c r="D76" s="77"/>
      <c r="E76" s="77"/>
      <c r="J76" s="75"/>
      <c r="K76" s="75"/>
    </row>
    <row r="77" spans="2:11">
      <c r="B77" s="35"/>
      <c r="D77" s="77"/>
      <c r="E77" s="77"/>
      <c r="J77" s="75"/>
      <c r="K77" s="75"/>
    </row>
    <row r="78" spans="2:11">
      <c r="B78" s="33" t="s">
        <v>68</v>
      </c>
      <c r="D78" s="77"/>
      <c r="E78" s="77"/>
      <c r="J78" s="75"/>
      <c r="K78" s="75"/>
    </row>
    <row r="79" spans="2:11">
      <c r="B79" s="35" t="s">
        <v>69</v>
      </c>
      <c r="D79" s="155" t="str">
        <f>AM45</f>
        <v/>
      </c>
      <c r="E79" s="155">
        <f>AM13</f>
        <v>2044</v>
      </c>
      <c r="J79" s="75"/>
      <c r="K79" s="75"/>
    </row>
    <row r="80" spans="2:11" ht="13.5" thickBot="1">
      <c r="B80" s="33" t="s">
        <v>70</v>
      </c>
      <c r="D80" s="156">
        <f>SUM(D79)</f>
        <v>0</v>
      </c>
      <c r="E80" s="156">
        <f>SUM(E79)</f>
        <v>2044</v>
      </c>
      <c r="H80" s="34"/>
    </row>
    <row r="81" spans="2:7" ht="13.5" thickTop="1">
      <c r="B81" s="35"/>
      <c r="D81" s="77"/>
      <c r="E81" s="77"/>
      <c r="G81" s="152"/>
    </row>
    <row r="82" spans="2:7">
      <c r="B82" s="35"/>
      <c r="D82" s="77"/>
      <c r="E82" s="77"/>
    </row>
    <row r="83" spans="2:7">
      <c r="B83" s="33" t="s">
        <v>71</v>
      </c>
      <c r="D83" s="77"/>
      <c r="E83" s="77"/>
    </row>
    <row r="84" spans="2:7">
      <c r="B84" s="35" t="s">
        <v>72</v>
      </c>
      <c r="D84" s="155">
        <f>Y45</f>
        <v>1118849</v>
      </c>
      <c r="E84" s="155">
        <f>Y13</f>
        <v>1118849</v>
      </c>
      <c r="F84" s="77"/>
    </row>
    <row r="85" spans="2:7">
      <c r="B85" s="36" t="s">
        <v>73</v>
      </c>
      <c r="D85" s="155">
        <f>AA45</f>
        <v>676602.26</v>
      </c>
      <c r="E85" s="155">
        <f>AA13</f>
        <v>676602.26</v>
      </c>
    </row>
    <row r="86" spans="2:7">
      <c r="B86" s="36" t="s">
        <v>74</v>
      </c>
      <c r="D86" s="155">
        <f>AC45</f>
        <v>155665.25</v>
      </c>
      <c r="E86" s="155">
        <v>142251</v>
      </c>
      <c r="F86" s="39"/>
    </row>
    <row r="87" spans="2:7" ht="13.5" thickBot="1">
      <c r="B87" s="38" t="s">
        <v>75</v>
      </c>
      <c r="D87" s="156">
        <f>SUM(D84:D86)</f>
        <v>1951116.51</v>
      </c>
      <c r="E87" s="156">
        <f>SUM(E84:E86)</f>
        <v>1937702.26</v>
      </c>
      <c r="F87" s="66"/>
    </row>
    <row r="88" spans="2:7" ht="13.5" thickTop="1">
      <c r="B88" s="35"/>
      <c r="D88" s="77"/>
      <c r="E88" s="77"/>
    </row>
    <row r="89" spans="2:7">
      <c r="B89" s="33" t="s">
        <v>76</v>
      </c>
      <c r="D89" s="77"/>
      <c r="E89" s="77"/>
      <c r="F89" s="77"/>
    </row>
    <row r="90" spans="2:7">
      <c r="B90" s="36" t="s">
        <v>236</v>
      </c>
      <c r="D90" s="155">
        <f>D75-D80-D87</f>
        <v>20886.559999999823</v>
      </c>
      <c r="E90" s="155">
        <v>13415</v>
      </c>
      <c r="F90" s="41"/>
    </row>
    <row r="91" spans="2:7">
      <c r="B91" s="35"/>
      <c r="D91" s="77"/>
      <c r="E91" s="77"/>
    </row>
    <row r="92" spans="2:7" ht="13.5" thickBot="1">
      <c r="B92" s="33" t="s">
        <v>77</v>
      </c>
      <c r="D92" s="156">
        <f>D80+D87+D90</f>
        <v>1972003.0699999998</v>
      </c>
      <c r="E92" s="156">
        <f>E80+E87+E90</f>
        <v>1953161.26</v>
      </c>
    </row>
    <row r="93" spans="2:7" ht="13.5" thickTop="1">
      <c r="B93" s="35"/>
      <c r="D93" s="77"/>
      <c r="E93" s="77"/>
    </row>
    <row r="94" spans="2:7">
      <c r="D94" s="77"/>
      <c r="E94" s="77"/>
    </row>
    <row r="95" spans="2:7" ht="24.75">
      <c r="B95" s="147" t="s">
        <v>312</v>
      </c>
      <c r="D95" s="77"/>
      <c r="E95" s="77"/>
    </row>
    <row r="96" spans="2:7">
      <c r="D96" s="77"/>
      <c r="E96" s="77"/>
      <c r="F96" s="35"/>
      <c r="G96" s="73"/>
    </row>
    <row r="97" spans="2:9" ht="19.5">
      <c r="B97" s="148" t="s">
        <v>313</v>
      </c>
      <c r="C97" s="148"/>
      <c r="D97" s="148">
        <v>2006</v>
      </c>
      <c r="E97" s="148">
        <v>2005</v>
      </c>
      <c r="F97" s="148" t="s">
        <v>232</v>
      </c>
      <c r="G97" s="149" t="s">
        <v>314</v>
      </c>
      <c r="H97" s="150" t="s">
        <v>315</v>
      </c>
      <c r="I97" s="148" t="s">
        <v>289</v>
      </c>
    </row>
    <row r="98" spans="2:9">
      <c r="B98" s="34" t="s">
        <v>153</v>
      </c>
      <c r="D98" s="77"/>
      <c r="E98" s="77"/>
      <c r="F98" s="35"/>
      <c r="G98" s="35"/>
    </row>
    <row r="99" spans="2:9">
      <c r="B99" t="s">
        <v>154</v>
      </c>
      <c r="D99" s="155">
        <f>K45</f>
        <v>31802</v>
      </c>
      <c r="E99" s="155">
        <v>30900</v>
      </c>
      <c r="F99" s="155">
        <v>33000</v>
      </c>
      <c r="G99" s="155">
        <f>D99-F99</f>
        <v>-1198</v>
      </c>
      <c r="H99" s="151">
        <f>IF(F99=0,"---",G99/F99)</f>
        <v>-3.6303030303030302E-2</v>
      </c>
      <c r="I99" s="155">
        <f>200*105</f>
        <v>21000</v>
      </c>
    </row>
    <row r="100" spans="2:9">
      <c r="B100" t="s">
        <v>155</v>
      </c>
      <c r="D100" s="155">
        <f>O39</f>
        <v>21854</v>
      </c>
      <c r="E100" s="155">
        <v>15250</v>
      </c>
      <c r="F100" s="155">
        <v>14000</v>
      </c>
      <c r="G100" s="155">
        <f>D100-F100</f>
        <v>7854</v>
      </c>
      <c r="H100" s="151">
        <f>IF(F100=0,"---",G100/F100)</f>
        <v>0.56100000000000005</v>
      </c>
      <c r="I100" s="155">
        <v>30000</v>
      </c>
    </row>
    <row r="101" spans="2:9">
      <c r="B101" t="s">
        <v>156</v>
      </c>
      <c r="D101" s="155">
        <f>O45-D100</f>
        <v>54.529999999998836</v>
      </c>
      <c r="E101" s="155">
        <v>85</v>
      </c>
      <c r="F101" s="155">
        <v>50</v>
      </c>
      <c r="G101" s="155">
        <f>D101-F101</f>
        <v>4.5299999999988358</v>
      </c>
      <c r="H101" s="151">
        <f>IF(F101=0,"---",G101/F101)</f>
        <v>9.0599999999976713E-2</v>
      </c>
      <c r="I101" s="155">
        <v>50</v>
      </c>
    </row>
    <row r="102" spans="2:9" ht="16.5" thickBot="1">
      <c r="B102" s="154" t="s">
        <v>158</v>
      </c>
      <c r="C102" s="154"/>
      <c r="D102" s="156">
        <f>SUM(D99:D101)</f>
        <v>53710.53</v>
      </c>
      <c r="E102" s="156">
        <f>SUM(E99:E101)</f>
        <v>46235</v>
      </c>
      <c r="F102" s="156">
        <f>SUM(F99:F101)</f>
        <v>47050</v>
      </c>
      <c r="G102" s="156">
        <f>SUM(G99:G101)</f>
        <v>6660.5299999999988</v>
      </c>
      <c r="H102" s="153">
        <f>IF(F102=0,"---",G102/F102)</f>
        <v>0.14156280552603612</v>
      </c>
      <c r="I102" s="156">
        <f>SUM(I99:I101)</f>
        <v>51050</v>
      </c>
    </row>
    <row r="103" spans="2:9" ht="13.5" thickTop="1">
      <c r="D103" s="77"/>
      <c r="E103" s="77"/>
      <c r="F103" s="77"/>
      <c r="G103" s="77"/>
      <c r="I103" s="77"/>
    </row>
    <row r="104" spans="2:9">
      <c r="B104" s="34" t="s">
        <v>159</v>
      </c>
      <c r="D104" s="77"/>
      <c r="E104" s="77"/>
      <c r="F104" s="77"/>
      <c r="G104" s="77"/>
      <c r="I104" s="77"/>
    </row>
    <row r="105" spans="2:9">
      <c r="B105" t="s">
        <v>290</v>
      </c>
      <c r="D105" s="155">
        <f>H41</f>
        <v>5000</v>
      </c>
      <c r="E105" s="155">
        <v>5000</v>
      </c>
      <c r="F105" s="155">
        <v>5000</v>
      </c>
      <c r="G105" s="155">
        <f>D105-F105</f>
        <v>0</v>
      </c>
      <c r="H105" s="151">
        <f t="shared" ref="H105:H114" si="2">IF(F105=0,"---",G105/F105)</f>
        <v>0</v>
      </c>
      <c r="I105" s="155">
        <v>5000</v>
      </c>
    </row>
    <row r="106" spans="2:9">
      <c r="B106" t="s">
        <v>161</v>
      </c>
      <c r="D106" s="155">
        <f>H40</f>
        <v>12842</v>
      </c>
      <c r="E106" s="155">
        <v>12842</v>
      </c>
      <c r="F106" s="155">
        <v>12842</v>
      </c>
      <c r="G106" s="155">
        <f t="shared" ref="G106:G113" si="3">D106-F106</f>
        <v>0</v>
      </c>
      <c r="H106" s="151">
        <f t="shared" si="2"/>
        <v>0</v>
      </c>
      <c r="I106" s="155">
        <v>12843</v>
      </c>
    </row>
    <row r="107" spans="2:9">
      <c r="B107" t="s">
        <v>162</v>
      </c>
      <c r="D107" s="155">
        <f>H42</f>
        <v>4482</v>
      </c>
      <c r="E107" s="155">
        <v>4004</v>
      </c>
      <c r="F107" s="155">
        <v>8000</v>
      </c>
      <c r="G107" s="155">
        <f t="shared" si="3"/>
        <v>-3518</v>
      </c>
      <c r="H107" s="151">
        <f t="shared" si="2"/>
        <v>-0.43974999999999997</v>
      </c>
      <c r="I107" s="155">
        <v>8000</v>
      </c>
    </row>
    <row r="108" spans="2:9">
      <c r="B108" t="s">
        <v>163</v>
      </c>
      <c r="D108" s="155">
        <v>0</v>
      </c>
      <c r="E108" s="155">
        <v>2110</v>
      </c>
      <c r="F108" s="155">
        <v>10000</v>
      </c>
      <c r="G108" s="155">
        <f t="shared" si="3"/>
        <v>-10000</v>
      </c>
      <c r="H108" s="151">
        <f t="shared" si="2"/>
        <v>-1</v>
      </c>
      <c r="I108" s="155">
        <v>8000</v>
      </c>
    </row>
    <row r="109" spans="2:9">
      <c r="B109" t="s">
        <v>287</v>
      </c>
      <c r="D109" s="155">
        <f>H25+H26</f>
        <v>2030</v>
      </c>
      <c r="E109" s="155">
        <v>0</v>
      </c>
      <c r="F109" s="155">
        <v>1000</v>
      </c>
      <c r="G109" s="155">
        <f t="shared" si="3"/>
        <v>1030</v>
      </c>
      <c r="H109" s="151">
        <f t="shared" si="2"/>
        <v>1.03</v>
      </c>
      <c r="I109" s="155">
        <v>1100</v>
      </c>
    </row>
    <row r="110" spans="2:9">
      <c r="B110" t="s">
        <v>288</v>
      </c>
      <c r="D110" s="155">
        <f>-I14+H15+H16+H28</f>
        <v>592</v>
      </c>
      <c r="E110" s="155">
        <v>2044</v>
      </c>
      <c r="F110" s="155">
        <v>2100</v>
      </c>
      <c r="G110" s="155">
        <f t="shared" si="3"/>
        <v>-1508</v>
      </c>
      <c r="H110" s="151">
        <f t="shared" si="2"/>
        <v>-0.71809523809523812</v>
      </c>
      <c r="I110" s="155">
        <v>2200</v>
      </c>
    </row>
    <row r="111" spans="2:9">
      <c r="B111" t="s">
        <v>166</v>
      </c>
      <c r="D111" s="155">
        <f>H18+H19-I34+H30+H31+H32</f>
        <v>2917.56</v>
      </c>
      <c r="E111" s="155">
        <v>385</v>
      </c>
      <c r="F111" s="155">
        <v>4000</v>
      </c>
      <c r="G111" s="155">
        <f t="shared" si="3"/>
        <v>-1082.44</v>
      </c>
      <c r="H111" s="151">
        <f t="shared" si="2"/>
        <v>-0.27061000000000002</v>
      </c>
      <c r="I111" s="155">
        <v>4000</v>
      </c>
    </row>
    <row r="112" spans="2:9">
      <c r="B112" t="s">
        <v>169</v>
      </c>
      <c r="D112" s="155">
        <f>H20</f>
        <v>2500</v>
      </c>
      <c r="E112" s="155">
        <v>2500</v>
      </c>
      <c r="F112" s="155">
        <v>0</v>
      </c>
      <c r="G112" s="155">
        <f t="shared" si="3"/>
        <v>2500</v>
      </c>
      <c r="H112" s="151" t="str">
        <f t="shared" si="2"/>
        <v>---</v>
      </c>
      <c r="I112" s="155">
        <v>2500</v>
      </c>
    </row>
    <row r="113" spans="2:9">
      <c r="B113" t="s">
        <v>309</v>
      </c>
      <c r="D113" s="155">
        <f>H17+H24</f>
        <v>2460.41</v>
      </c>
      <c r="E113" s="155">
        <v>886</v>
      </c>
      <c r="F113" s="155">
        <v>0</v>
      </c>
      <c r="G113" s="155">
        <f t="shared" si="3"/>
        <v>2460.41</v>
      </c>
      <c r="H113" s="151" t="str">
        <f t="shared" si="2"/>
        <v>---</v>
      </c>
      <c r="I113" s="155">
        <v>0</v>
      </c>
    </row>
    <row r="114" spans="2:9" ht="16.5" thickBot="1">
      <c r="B114" s="154" t="s">
        <v>171</v>
      </c>
      <c r="C114" s="154"/>
      <c r="D114" s="156">
        <f>SUM(D105:D113)</f>
        <v>32823.97</v>
      </c>
      <c r="E114" s="156">
        <f>SUM(E105:E113)</f>
        <v>29771</v>
      </c>
      <c r="F114" s="156">
        <f>SUM(F105:F113)</f>
        <v>42942</v>
      </c>
      <c r="G114" s="156">
        <f>SUM(G105:G113)</f>
        <v>-10118.030000000001</v>
      </c>
      <c r="H114" s="153">
        <f t="shared" si="2"/>
        <v>-0.23562083740859766</v>
      </c>
      <c r="I114" s="156">
        <f>SUM(I105:I113)</f>
        <v>43643</v>
      </c>
    </row>
    <row r="115" spans="2:9" ht="13.5" thickTop="1">
      <c r="D115" s="77"/>
      <c r="E115" s="77"/>
      <c r="F115" s="77"/>
      <c r="G115" s="77"/>
      <c r="H115" s="77"/>
      <c r="I115" s="77"/>
    </row>
    <row r="116" spans="2:9" ht="16.5" thickBot="1">
      <c r="B116" s="154" t="s">
        <v>141</v>
      </c>
      <c r="C116" s="154"/>
      <c r="D116" s="156">
        <f>D102-D114</f>
        <v>20886.559999999998</v>
      </c>
      <c r="E116" s="156">
        <f>E102-E114</f>
        <v>16464</v>
      </c>
      <c r="F116" s="156">
        <f>F102-F114</f>
        <v>4108</v>
      </c>
      <c r="G116" s="156">
        <f>G102-G114</f>
        <v>16778.559999999998</v>
      </c>
      <c r="H116" s="153">
        <f>IF(F116=0,"---",G116/F116)</f>
        <v>4.0843622200584218</v>
      </c>
      <c r="I116" s="156">
        <f>I102-I114</f>
        <v>7407</v>
      </c>
    </row>
    <row r="117" spans="2:9" ht="13.5" thickTop="1">
      <c r="D117" s="77"/>
      <c r="E117" s="77"/>
      <c r="F117" s="77"/>
      <c r="G117" s="77"/>
      <c r="I117" s="77"/>
    </row>
    <row r="118" spans="2:9">
      <c r="B118" s="34" t="s">
        <v>172</v>
      </c>
      <c r="D118" s="77"/>
      <c r="E118" s="77"/>
      <c r="F118" s="77"/>
      <c r="G118" s="77"/>
      <c r="I118" s="77"/>
    </row>
    <row r="119" spans="2:9">
      <c r="B119" t="s">
        <v>173</v>
      </c>
      <c r="D119" s="155">
        <f>SUM(D100:D101)*0.2</f>
        <v>4381.7060000000001</v>
      </c>
      <c r="E119" s="155">
        <v>3050</v>
      </c>
      <c r="F119" s="155">
        <f>SUM(F100:F101)*0.2</f>
        <v>2810</v>
      </c>
      <c r="G119" s="155">
        <f>D119-F119</f>
        <v>1571.7060000000001</v>
      </c>
      <c r="H119" s="151">
        <f>IF(F119=0,"---",G119/F119)</f>
        <v>0.55932597864768685</v>
      </c>
      <c r="I119" s="155">
        <f>SUM(I100:I101)*0.2</f>
        <v>6010</v>
      </c>
    </row>
    <row r="120" spans="2:9">
      <c r="B120" t="s">
        <v>174</v>
      </c>
      <c r="D120" s="155">
        <f>D116-D119</f>
        <v>16504.853999999999</v>
      </c>
      <c r="E120" s="155">
        <v>13414</v>
      </c>
      <c r="F120" s="155">
        <f>F116-F119</f>
        <v>1298</v>
      </c>
      <c r="G120" s="155">
        <f>D120-F120</f>
        <v>15206.853999999999</v>
      </c>
      <c r="H120" s="151">
        <f>IF(F120=0,"---",G120/F120)</f>
        <v>11.715604006163328</v>
      </c>
      <c r="I120" s="155">
        <f>I116-I119</f>
        <v>1397</v>
      </c>
    </row>
    <row r="121" spans="2:9" ht="16.5" thickBot="1">
      <c r="B121" s="154" t="s">
        <v>175</v>
      </c>
      <c r="C121" s="154"/>
      <c r="D121" s="156">
        <f>SUM(D119:D120)</f>
        <v>20886.559999999998</v>
      </c>
      <c r="E121" s="156">
        <f>SUM(E119:E120)</f>
        <v>16464</v>
      </c>
      <c r="F121" s="156">
        <f>SUM(F119:F120)</f>
        <v>4108</v>
      </c>
      <c r="G121" s="156">
        <f>D121-F121</f>
        <v>16778.559999999998</v>
      </c>
      <c r="H121" s="153">
        <f>IF(F121=0,"---",G121/F121)</f>
        <v>4.0843622200584218</v>
      </c>
      <c r="I121" s="156">
        <f>SUM(I119:I120)</f>
        <v>7407</v>
      </c>
    </row>
    <row r="122" spans="2:9" ht="13.5" thickTop="1"/>
    <row r="123" spans="2:9">
      <c r="B123" t="s">
        <v>305</v>
      </c>
      <c r="F123" s="113">
        <f>G25</f>
        <v>1040</v>
      </c>
    </row>
    <row r="124" spans="2:9">
      <c r="B124" t="s">
        <v>306</v>
      </c>
      <c r="F124" s="113">
        <f>G15-I14</f>
        <v>-1022</v>
      </c>
    </row>
    <row r="125" spans="2:9">
      <c r="B125" t="s">
        <v>307</v>
      </c>
      <c r="F125" s="77">
        <f>D113</f>
        <v>2460.41</v>
      </c>
    </row>
    <row r="126" spans="2:9">
      <c r="B126" t="s">
        <v>308</v>
      </c>
      <c r="F126" s="77">
        <f>G19</f>
        <v>142</v>
      </c>
    </row>
    <row r="127" spans="2:9">
      <c r="B127" t="s">
        <v>310</v>
      </c>
      <c r="F127" s="78">
        <f>SUM(F123:F126)</f>
        <v>2620.41</v>
      </c>
    </row>
    <row r="129" spans="2:9">
      <c r="B129" s="34" t="s">
        <v>166</v>
      </c>
      <c r="F129" s="34" t="s">
        <v>292</v>
      </c>
    </row>
    <row r="130" spans="2:9">
      <c r="B130" t="str">
        <f>B18</f>
        <v xml:space="preserve">Skårer Blomster. </v>
      </c>
      <c r="D130" s="113">
        <f>H18</f>
        <v>250</v>
      </c>
      <c r="F130" s="34" t="s">
        <v>177</v>
      </c>
    </row>
    <row r="131" spans="2:9">
      <c r="B131" t="str">
        <f>B19</f>
        <v>Gjelleråsen Vel. Temakveld 2005</v>
      </c>
      <c r="D131" s="113">
        <f>H19</f>
        <v>142</v>
      </c>
      <c r="F131" s="79" t="s">
        <v>302</v>
      </c>
      <c r="G131" s="34"/>
      <c r="H131" s="80"/>
      <c r="I131" s="77">
        <v>5946</v>
      </c>
    </row>
    <row r="132" spans="2:9">
      <c r="B132" t="str">
        <f>B30</f>
        <v>Årets "Ildsjel-pris" 2006</v>
      </c>
      <c r="D132" s="113">
        <f>H30</f>
        <v>142</v>
      </c>
      <c r="F132" s="79" t="s">
        <v>204</v>
      </c>
      <c r="I132" s="77">
        <v>8000</v>
      </c>
    </row>
    <row r="133" spans="2:9">
      <c r="B133" t="str">
        <f>B31</f>
        <v>Trykking årsmøtepapirer</v>
      </c>
      <c r="D133" s="113">
        <f>H31</f>
        <v>2106.25</v>
      </c>
      <c r="F133" s="79" t="s">
        <v>299</v>
      </c>
      <c r="G133" s="34"/>
      <c r="H133" s="80"/>
      <c r="I133" s="77">
        <f>I141</f>
        <v>-3464</v>
      </c>
    </row>
    <row r="134" spans="2:9">
      <c r="B134" t="str">
        <f>B32</f>
        <v>Bankgebyr</v>
      </c>
      <c r="D134" s="113">
        <f>H32</f>
        <v>281</v>
      </c>
      <c r="F134" s="79" t="s">
        <v>300</v>
      </c>
      <c r="G134" s="34"/>
      <c r="H134" s="80"/>
      <c r="I134" s="77">
        <f>I144</f>
        <v>-1018</v>
      </c>
    </row>
    <row r="135" spans="2:9" ht="13.5" thickBot="1">
      <c r="B135" t="str">
        <f>B34</f>
        <v>Korreksjon av differanse fra 2005</v>
      </c>
      <c r="D135" s="113">
        <f>-I34</f>
        <v>-3.69</v>
      </c>
      <c r="F135" s="34" t="s">
        <v>303</v>
      </c>
      <c r="G135" s="82"/>
      <c r="H135" s="82"/>
      <c r="I135" s="98">
        <f>SUM(I131:I134)</f>
        <v>9464</v>
      </c>
    </row>
    <row r="136" spans="2:9" ht="13.5" thickTop="1">
      <c r="B136" s="91" t="s">
        <v>166</v>
      </c>
      <c r="D136" s="68">
        <f>SUM(D130:D135)</f>
        <v>2917.56</v>
      </c>
      <c r="F136" s="34"/>
      <c r="G136" s="82"/>
      <c r="H136" s="82"/>
      <c r="I136" s="65"/>
    </row>
    <row r="137" spans="2:9">
      <c r="F137" s="34"/>
      <c r="G137" s="82"/>
      <c r="H137" s="82"/>
      <c r="I137" s="65"/>
    </row>
    <row r="138" spans="2:9">
      <c r="F138" s="34" t="s">
        <v>186</v>
      </c>
      <c r="G138" s="82"/>
      <c r="H138" s="82"/>
      <c r="I138" s="65"/>
    </row>
    <row r="139" spans="2:9">
      <c r="F139" s="79" t="s">
        <v>294</v>
      </c>
      <c r="G139" s="82"/>
      <c r="H139" s="64">
        <v>3500</v>
      </c>
      <c r="I139" s="64"/>
    </row>
    <row r="140" spans="2:9">
      <c r="F140" s="79" t="s">
        <v>295</v>
      </c>
      <c r="G140" s="82"/>
      <c r="H140" s="64">
        <v>6964</v>
      </c>
      <c r="I140" s="64"/>
    </row>
    <row r="141" spans="2:9">
      <c r="F141" s="79" t="s">
        <v>293</v>
      </c>
      <c r="G141" s="82"/>
      <c r="H141" s="64"/>
      <c r="I141" s="64">
        <f>H139-H140</f>
        <v>-3464</v>
      </c>
    </row>
    <row r="142" spans="2:9">
      <c r="F142" s="79" t="s">
        <v>297</v>
      </c>
      <c r="G142" s="82"/>
      <c r="H142" s="64">
        <v>9500</v>
      </c>
      <c r="I142" s="64"/>
    </row>
    <row r="143" spans="2:9">
      <c r="F143" s="79" t="s">
        <v>298</v>
      </c>
      <c r="G143" s="82"/>
      <c r="H143" s="64">
        <v>10518</v>
      </c>
      <c r="I143" s="64"/>
    </row>
    <row r="144" spans="2:9">
      <c r="F144" s="79" t="s">
        <v>296</v>
      </c>
      <c r="G144" s="82"/>
      <c r="H144" s="64"/>
      <c r="I144" s="64">
        <f>H142-H143</f>
        <v>-1018</v>
      </c>
    </row>
    <row r="145" spans="6:9">
      <c r="F145" s="34" t="s">
        <v>291</v>
      </c>
      <c r="G145" s="34"/>
      <c r="H145" s="34"/>
      <c r="I145" s="92">
        <f>SUM(I139:I144)</f>
        <v>-4482</v>
      </c>
    </row>
  </sheetData>
  <mergeCells count="6">
    <mergeCell ref="AF5:AG5"/>
    <mergeCell ref="AH5:AI5"/>
    <mergeCell ref="AJ4:AK4"/>
    <mergeCell ref="AD4:AE4"/>
    <mergeCell ref="AF4:AG4"/>
    <mergeCell ref="AH4:AI4"/>
  </mergeCells>
  <phoneticPr fontId="2" type="noConversion"/>
  <pageMargins left="0.75" right="0.75" top="1" bottom="1" header="0.5" footer="0.5"/>
  <headerFooter alignWithMargins="0"/>
  <legacy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>
    <pageSetUpPr fitToPage="1"/>
  </sheetPr>
  <dimension ref="A4:AL171"/>
  <sheetViews>
    <sheetView workbookViewId="0">
      <pane xSplit="3" ySplit="6" topLeftCell="D39" activePane="bottomRight" state="frozen"/>
      <selection pane="topRight" activeCell="D1" sqref="D1"/>
      <selection pane="bottomLeft" activeCell="A8" sqref="A8"/>
      <selection pane="bottomRight" activeCell="D148" sqref="D148:G165"/>
    </sheetView>
  </sheetViews>
  <sheetFormatPr baseColWidth="10" defaultColWidth="11.42578125" defaultRowHeight="12.75"/>
  <cols>
    <col min="1" max="1" width="10.140625" bestFit="1" customWidth="1"/>
    <col min="2" max="2" width="25.7109375" customWidth="1"/>
    <col min="3" max="3" width="6.85546875" customWidth="1"/>
    <col min="4" max="5" width="12.85546875" bestFit="1" customWidth="1"/>
    <col min="6" max="6" width="16.42578125" customWidth="1"/>
    <col min="8" max="8" width="13.7109375" customWidth="1"/>
    <col min="9" max="9" width="13.85546875" customWidth="1"/>
    <col min="10" max="10" width="14.140625" customWidth="1"/>
    <col min="12" max="12" width="16.28515625" customWidth="1"/>
    <col min="36" max="36" width="13" bestFit="1" customWidth="1"/>
    <col min="37" max="37" width="12.85546875" bestFit="1" customWidth="1"/>
    <col min="38" max="38" width="42" bestFit="1" customWidth="1"/>
  </cols>
  <sheetData>
    <row r="4" spans="1:38">
      <c r="A4" s="1" t="s">
        <v>20</v>
      </c>
      <c r="B4" s="2" t="s">
        <v>0</v>
      </c>
      <c r="C4" s="1" t="s">
        <v>1</v>
      </c>
      <c r="D4" s="1" t="s">
        <v>2</v>
      </c>
      <c r="E4" s="2"/>
      <c r="F4" s="1" t="s">
        <v>3</v>
      </c>
      <c r="G4" s="1"/>
      <c r="H4" s="3" t="s">
        <v>4</v>
      </c>
      <c r="I4" s="3"/>
      <c r="J4" s="4" t="s">
        <v>5</v>
      </c>
      <c r="K4" s="5"/>
      <c r="L4" s="1" t="s">
        <v>6</v>
      </c>
      <c r="M4" s="1"/>
      <c r="N4" s="6" t="s">
        <v>7</v>
      </c>
      <c r="O4" s="3"/>
      <c r="P4" s="2" t="s">
        <v>8</v>
      </c>
      <c r="Q4" s="1"/>
      <c r="R4" s="5" t="s">
        <v>9</v>
      </c>
      <c r="S4" s="1"/>
      <c r="T4" s="2" t="s">
        <v>10</v>
      </c>
      <c r="U4" s="2"/>
      <c r="V4" s="1" t="s">
        <v>11</v>
      </c>
      <c r="W4" s="2"/>
      <c r="X4" s="2" t="s">
        <v>12</v>
      </c>
      <c r="Y4" s="2"/>
      <c r="Z4" s="1" t="s">
        <v>13</v>
      </c>
      <c r="AA4" s="2"/>
      <c r="AB4" s="1" t="s">
        <v>14</v>
      </c>
      <c r="AC4" s="2"/>
      <c r="AD4" s="1" t="s">
        <v>15</v>
      </c>
      <c r="AE4" s="2"/>
      <c r="AF4" s="7" t="s">
        <v>30</v>
      </c>
      <c r="AG4" s="3"/>
      <c r="AH4" s="8" t="s">
        <v>32</v>
      </c>
      <c r="AI4" s="9"/>
    </row>
    <row r="5" spans="1:38" ht="13.5" thickBot="1">
      <c r="A5" s="10"/>
      <c r="B5" s="11"/>
      <c r="C5" s="10" t="s">
        <v>16</v>
      </c>
      <c r="D5" s="10"/>
      <c r="E5" s="11"/>
      <c r="F5" s="10" t="s">
        <v>17</v>
      </c>
      <c r="G5" s="10"/>
      <c r="H5" s="12" t="s">
        <v>18</v>
      </c>
      <c r="I5" s="10"/>
      <c r="J5" s="10" t="s">
        <v>19</v>
      </c>
      <c r="K5" s="12"/>
      <c r="L5" s="10" t="s">
        <v>20</v>
      </c>
      <c r="M5" s="10"/>
      <c r="N5" s="12" t="s">
        <v>21</v>
      </c>
      <c r="O5" s="10"/>
      <c r="P5" s="11"/>
      <c r="Q5" s="10"/>
      <c r="R5" s="13" t="s">
        <v>22</v>
      </c>
      <c r="S5" s="10"/>
      <c r="T5" s="11" t="s">
        <v>23</v>
      </c>
      <c r="U5" s="11"/>
      <c r="V5" s="10" t="s">
        <v>24</v>
      </c>
      <c r="W5" s="11"/>
      <c r="X5" s="11" t="s">
        <v>25</v>
      </c>
      <c r="Y5" s="11"/>
      <c r="Z5" s="10" t="s">
        <v>26</v>
      </c>
      <c r="AA5" s="11"/>
      <c r="AB5" s="10" t="s">
        <v>27</v>
      </c>
      <c r="AC5" s="11"/>
      <c r="AD5" s="10"/>
      <c r="AE5" s="11"/>
      <c r="AF5" s="10"/>
      <c r="AG5" s="14"/>
      <c r="AH5" s="12"/>
      <c r="AI5" s="15"/>
    </row>
    <row r="6" spans="1:38" ht="13.5" thickBot="1">
      <c r="A6" s="16"/>
      <c r="B6" s="17"/>
      <c r="C6" s="10"/>
      <c r="D6" s="16" t="s">
        <v>28</v>
      </c>
      <c r="E6" s="17" t="s">
        <v>29</v>
      </c>
      <c r="F6" s="16" t="s">
        <v>28</v>
      </c>
      <c r="G6" s="16" t="s">
        <v>29</v>
      </c>
      <c r="H6" s="18" t="s">
        <v>28</v>
      </c>
      <c r="I6" s="16" t="s">
        <v>29</v>
      </c>
      <c r="J6" s="16" t="s">
        <v>28</v>
      </c>
      <c r="K6" s="18" t="s">
        <v>29</v>
      </c>
      <c r="L6" s="16" t="s">
        <v>28</v>
      </c>
      <c r="M6" s="16" t="s">
        <v>29</v>
      </c>
      <c r="N6" s="18" t="s">
        <v>28</v>
      </c>
      <c r="O6" s="16" t="s">
        <v>29</v>
      </c>
      <c r="P6" s="17" t="s">
        <v>28</v>
      </c>
      <c r="Q6" s="16" t="s">
        <v>29</v>
      </c>
      <c r="R6" s="17" t="s">
        <v>28</v>
      </c>
      <c r="S6" s="16" t="s">
        <v>29</v>
      </c>
      <c r="T6" s="17" t="s">
        <v>28</v>
      </c>
      <c r="U6" s="17" t="s">
        <v>29</v>
      </c>
      <c r="V6" s="16" t="s">
        <v>28</v>
      </c>
      <c r="W6" s="17" t="s">
        <v>29</v>
      </c>
      <c r="X6" s="17" t="s">
        <v>28</v>
      </c>
      <c r="Y6" s="17" t="s">
        <v>29</v>
      </c>
      <c r="Z6" s="16" t="s">
        <v>28</v>
      </c>
      <c r="AA6" s="17" t="s">
        <v>29</v>
      </c>
      <c r="AB6" s="16" t="s">
        <v>28</v>
      </c>
      <c r="AC6" s="17" t="s">
        <v>29</v>
      </c>
      <c r="AD6" s="16" t="s">
        <v>28</v>
      </c>
      <c r="AE6" s="17" t="s">
        <v>29</v>
      </c>
      <c r="AF6" s="16" t="s">
        <v>28</v>
      </c>
      <c r="AG6" s="16" t="s">
        <v>29</v>
      </c>
      <c r="AH6" s="8" t="s">
        <v>28</v>
      </c>
      <c r="AI6" s="19" t="s">
        <v>29</v>
      </c>
    </row>
    <row r="7" spans="1:38">
      <c r="A7" s="108" t="s">
        <v>240</v>
      </c>
      <c r="B7" s="88"/>
      <c r="C7" s="8"/>
      <c r="D7" s="85">
        <v>374.05</v>
      </c>
      <c r="E7" s="85">
        <v>0</v>
      </c>
      <c r="F7" s="85">
        <v>3338.88</v>
      </c>
      <c r="G7" s="85">
        <v>0</v>
      </c>
      <c r="H7" s="85">
        <v>12276.96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745134.94</v>
      </c>
      <c r="O7" s="85">
        <v>0</v>
      </c>
      <c r="P7" s="85">
        <v>0</v>
      </c>
      <c r="Q7" s="85">
        <v>0</v>
      </c>
      <c r="R7" s="85">
        <v>38527</v>
      </c>
      <c r="S7" s="85">
        <v>0</v>
      </c>
      <c r="T7" s="85">
        <v>950000</v>
      </c>
      <c r="U7" s="85">
        <v>0</v>
      </c>
      <c r="V7" s="85">
        <v>112480</v>
      </c>
      <c r="W7" s="85">
        <v>0</v>
      </c>
      <c r="X7" s="85">
        <v>5000</v>
      </c>
      <c r="Y7" s="85">
        <v>0</v>
      </c>
      <c r="Z7" s="85">
        <v>0</v>
      </c>
      <c r="AA7" s="85">
        <v>1118849</v>
      </c>
      <c r="AB7" s="85">
        <v>0</v>
      </c>
      <c r="AC7" s="85">
        <v>673552.26</v>
      </c>
      <c r="AD7" s="85">
        <v>35661.17</v>
      </c>
      <c r="AE7" s="89">
        <v>177912.42</v>
      </c>
      <c r="AF7" s="85">
        <v>0</v>
      </c>
      <c r="AG7" s="85">
        <v>628</v>
      </c>
      <c r="AH7" s="85">
        <v>68148.679999999993</v>
      </c>
      <c r="AI7" s="85">
        <v>0</v>
      </c>
      <c r="AJ7" s="41">
        <f>D7+F7+H7+N7+R7+T7+V7+X7-AA7-AC7+AD7-AE7-AG7+AH7</f>
        <v>0</v>
      </c>
      <c r="AK7" s="41"/>
      <c r="AL7" s="41"/>
    </row>
    <row r="8" spans="1:38">
      <c r="A8" s="26"/>
      <c r="B8" s="5" t="s">
        <v>49</v>
      </c>
      <c r="C8" s="5">
        <v>1</v>
      </c>
      <c r="D8" s="5"/>
      <c r="E8" s="45"/>
      <c r="F8" s="45">
        <v>39950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101"/>
      <c r="AA8" s="101"/>
      <c r="AB8" s="101"/>
      <c r="AC8" s="101"/>
      <c r="AD8" s="101"/>
      <c r="AE8" s="101"/>
      <c r="AF8" s="101"/>
      <c r="AG8" s="101"/>
      <c r="AH8" s="101"/>
      <c r="AI8" s="101">
        <v>39950</v>
      </c>
      <c r="AJ8" s="101">
        <f>D8-E8+F8-G8+H8-I8+J8-K8+L8-M8+N8-O8+P8-Q8+R8-S8+T8-U8+V8-W8+X8-Y8+Z8-AA8+AB8-AC8+AD8-AE8+AF8-AG8+AH8-AI8</f>
        <v>0</v>
      </c>
      <c r="AK8" s="101"/>
    </row>
    <row r="9" spans="1:38">
      <c r="A9" s="26">
        <v>38413</v>
      </c>
      <c r="B9" s="5" t="s">
        <v>46</v>
      </c>
      <c r="C9" s="5">
        <v>2</v>
      </c>
      <c r="D9" s="5"/>
      <c r="E9" s="45"/>
      <c r="F9" s="45"/>
      <c r="G9" s="45"/>
      <c r="H9" s="45">
        <v>6.21</v>
      </c>
      <c r="I9" s="45"/>
      <c r="J9" s="45"/>
      <c r="K9" s="45"/>
      <c r="L9" s="45"/>
      <c r="M9" s="45"/>
      <c r="N9" s="45"/>
      <c r="O9" s="45"/>
      <c r="P9" s="45"/>
      <c r="Q9" s="45">
        <v>6.21</v>
      </c>
      <c r="R9" s="45"/>
      <c r="S9" s="45"/>
      <c r="T9" s="45"/>
      <c r="U9" s="45"/>
      <c r="V9" s="45"/>
      <c r="W9" s="45"/>
      <c r="X9" s="45"/>
      <c r="Y9" s="45"/>
      <c r="Z9" s="101"/>
      <c r="AA9" s="101"/>
      <c r="AB9" s="101"/>
      <c r="AC9" s="101"/>
      <c r="AD9" s="101"/>
      <c r="AE9" s="102"/>
      <c r="AF9" s="101"/>
      <c r="AG9" s="101"/>
      <c r="AH9" s="101"/>
      <c r="AI9" s="101"/>
      <c r="AJ9" s="101">
        <f t="shared" ref="AJ9:AJ62" si="0">D9-E9+F9-G9+H9-I9+J9-K9+L9-M9+N9-O9+P9-Q9+R9-S9+T9-U9+V9-W9+X9-Y9+Z9-AA9+AB9-AC9+AD9-AE9+AF9-AG9+AH9-AI9</f>
        <v>0</v>
      </c>
      <c r="AK9" s="102"/>
    </row>
    <row r="10" spans="1:38">
      <c r="A10" s="26"/>
      <c r="B10" s="5" t="s">
        <v>33</v>
      </c>
      <c r="C10" s="5">
        <v>3</v>
      </c>
      <c r="D10" s="5"/>
      <c r="E10" s="45"/>
      <c r="F10" s="45">
        <v>12283</v>
      </c>
      <c r="G10" s="45"/>
      <c r="H10" s="45"/>
      <c r="I10" s="45">
        <v>12283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>
        <f t="shared" si="0"/>
        <v>0</v>
      </c>
      <c r="AK10" s="102"/>
    </row>
    <row r="11" spans="1:38">
      <c r="A11" s="26">
        <v>38414</v>
      </c>
      <c r="B11" s="5" t="s">
        <v>43</v>
      </c>
      <c r="C11" s="5">
        <v>4</v>
      </c>
      <c r="D11" s="5"/>
      <c r="E11" s="45">
        <v>142</v>
      </c>
      <c r="F11" s="45"/>
      <c r="G11" s="45"/>
      <c r="H11" s="45"/>
      <c r="I11" s="45"/>
      <c r="J11" s="45">
        <v>142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101"/>
      <c r="AA11" s="101"/>
      <c r="AB11" s="101"/>
      <c r="AC11" s="102"/>
      <c r="AD11" s="101"/>
      <c r="AE11" s="101"/>
      <c r="AF11" s="101"/>
      <c r="AG11" s="101"/>
      <c r="AH11" s="101"/>
      <c r="AI11" s="101"/>
      <c r="AJ11" s="101">
        <f t="shared" si="0"/>
        <v>0</v>
      </c>
      <c r="AK11" s="102"/>
    </row>
    <row r="12" spans="1:38">
      <c r="A12" s="26">
        <v>38426</v>
      </c>
      <c r="B12" s="5" t="s">
        <v>44</v>
      </c>
      <c r="C12" s="5">
        <v>5</v>
      </c>
      <c r="D12" s="5"/>
      <c r="E12" s="45">
        <v>132</v>
      </c>
      <c r="F12" s="45"/>
      <c r="G12" s="45"/>
      <c r="H12" s="45"/>
      <c r="I12" s="45"/>
      <c r="J12" s="45">
        <v>132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>
        <f t="shared" si="0"/>
        <v>0</v>
      </c>
      <c r="AK12" s="103"/>
    </row>
    <row r="13" spans="1:38">
      <c r="A13" s="26">
        <v>38788</v>
      </c>
      <c r="B13" s="5" t="s">
        <v>34</v>
      </c>
      <c r="C13" s="5">
        <v>6</v>
      </c>
      <c r="D13" s="5"/>
      <c r="E13" s="45"/>
      <c r="F13" s="45">
        <v>300</v>
      </c>
      <c r="G13" s="45"/>
      <c r="H13" s="45"/>
      <c r="I13" s="45"/>
      <c r="J13" s="45"/>
      <c r="K13" s="45"/>
      <c r="L13" s="45"/>
      <c r="M13" s="45">
        <v>300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>
        <f t="shared" si="0"/>
        <v>0</v>
      </c>
      <c r="AK13" s="101"/>
    </row>
    <row r="14" spans="1:38">
      <c r="A14" s="27">
        <v>38951</v>
      </c>
      <c r="B14" s="5" t="s">
        <v>34</v>
      </c>
      <c r="C14" s="5">
        <v>7</v>
      </c>
      <c r="D14" s="5"/>
      <c r="E14" s="45"/>
      <c r="F14" s="45">
        <v>300</v>
      </c>
      <c r="G14" s="45"/>
      <c r="H14" s="45"/>
      <c r="I14" s="45"/>
      <c r="J14" s="45"/>
      <c r="K14" s="45"/>
      <c r="L14" s="45"/>
      <c r="M14" s="45">
        <v>300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>
        <f t="shared" si="0"/>
        <v>0</v>
      </c>
      <c r="AK14" s="101"/>
    </row>
    <row r="15" spans="1:38">
      <c r="A15" s="27">
        <v>38952</v>
      </c>
      <c r="B15" s="5" t="s">
        <v>34</v>
      </c>
      <c r="C15" s="5">
        <v>8</v>
      </c>
      <c r="D15" s="5"/>
      <c r="E15" s="45"/>
      <c r="F15" s="45">
        <v>1200</v>
      </c>
      <c r="G15" s="45"/>
      <c r="H15" s="45"/>
      <c r="I15" s="45"/>
      <c r="J15" s="45"/>
      <c r="K15" s="45"/>
      <c r="L15" s="45"/>
      <c r="M15" s="45">
        <v>1200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>
        <f t="shared" si="0"/>
        <v>0</v>
      </c>
      <c r="AK15" s="101"/>
    </row>
    <row r="16" spans="1:38">
      <c r="A16" s="26">
        <v>38953</v>
      </c>
      <c r="B16" s="5" t="s">
        <v>34</v>
      </c>
      <c r="C16" s="5">
        <v>9</v>
      </c>
      <c r="D16" s="5"/>
      <c r="E16" s="45"/>
      <c r="F16" s="45">
        <v>1200</v>
      </c>
      <c r="G16" s="45"/>
      <c r="H16" s="45"/>
      <c r="I16" s="45"/>
      <c r="J16" s="45"/>
      <c r="K16" s="45"/>
      <c r="L16" s="45"/>
      <c r="M16" s="45">
        <v>1200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101"/>
      <c r="AA16" s="101"/>
      <c r="AB16" s="101"/>
      <c r="AC16" s="101"/>
      <c r="AD16" s="101"/>
      <c r="AE16" s="101"/>
      <c r="AF16" s="101"/>
      <c r="AG16" s="102"/>
      <c r="AH16" s="101"/>
      <c r="AI16" s="101"/>
      <c r="AJ16" s="101">
        <f t="shared" si="0"/>
        <v>0</v>
      </c>
      <c r="AK16" s="101"/>
    </row>
    <row r="17" spans="1:37">
      <c r="A17" s="26">
        <v>38954</v>
      </c>
      <c r="B17" s="5" t="s">
        <v>34</v>
      </c>
      <c r="C17" s="5">
        <v>10</v>
      </c>
      <c r="D17" s="5"/>
      <c r="E17" s="45"/>
      <c r="F17" s="45">
        <v>1500</v>
      </c>
      <c r="G17" s="45"/>
      <c r="H17" s="45"/>
      <c r="I17" s="45"/>
      <c r="J17" s="45"/>
      <c r="K17" s="45"/>
      <c r="L17" s="45"/>
      <c r="M17" s="45">
        <v>1500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101"/>
      <c r="AA17" s="101"/>
      <c r="AB17" s="101"/>
      <c r="AC17" s="101"/>
      <c r="AD17" s="101"/>
      <c r="AE17" s="101"/>
      <c r="AF17" s="101"/>
      <c r="AG17" s="102"/>
      <c r="AH17" s="101"/>
      <c r="AI17" s="101"/>
      <c r="AJ17" s="101">
        <f t="shared" si="0"/>
        <v>0</v>
      </c>
      <c r="AK17" s="101"/>
    </row>
    <row r="18" spans="1:37">
      <c r="A18" s="27">
        <v>38955</v>
      </c>
      <c r="B18" s="5" t="s">
        <v>34</v>
      </c>
      <c r="C18" s="5">
        <v>11</v>
      </c>
      <c r="D18" s="5"/>
      <c r="E18" s="45"/>
      <c r="F18" s="45">
        <v>1500</v>
      </c>
      <c r="G18" s="45"/>
      <c r="H18" s="45"/>
      <c r="I18" s="45"/>
      <c r="J18" s="45"/>
      <c r="K18" s="45"/>
      <c r="L18" s="45"/>
      <c r="M18" s="45">
        <v>1500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>
        <f t="shared" si="0"/>
        <v>0</v>
      </c>
      <c r="AK18" s="101"/>
    </row>
    <row r="19" spans="1:37">
      <c r="A19" s="27">
        <v>38958</v>
      </c>
      <c r="B19" s="5" t="s">
        <v>34</v>
      </c>
      <c r="C19" s="5">
        <v>12</v>
      </c>
      <c r="D19" s="5"/>
      <c r="E19" s="45"/>
      <c r="F19" s="45">
        <v>1800</v>
      </c>
      <c r="G19" s="45"/>
      <c r="H19" s="45"/>
      <c r="I19" s="45"/>
      <c r="J19" s="45"/>
      <c r="K19" s="45"/>
      <c r="L19" s="45"/>
      <c r="M19" s="45">
        <v>1800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>
        <f t="shared" si="0"/>
        <v>0</v>
      </c>
      <c r="AK19" s="101"/>
    </row>
    <row r="20" spans="1:37">
      <c r="A20" s="27">
        <v>38959</v>
      </c>
      <c r="B20" s="5" t="s">
        <v>34</v>
      </c>
      <c r="C20" s="5">
        <v>13</v>
      </c>
      <c r="D20" s="5"/>
      <c r="E20" s="45"/>
      <c r="F20" s="45">
        <v>1500</v>
      </c>
      <c r="G20" s="45"/>
      <c r="H20" s="45"/>
      <c r="I20" s="45"/>
      <c r="J20" s="45"/>
      <c r="K20" s="45"/>
      <c r="L20" s="45"/>
      <c r="M20" s="45">
        <v>1500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>
        <f t="shared" si="0"/>
        <v>0</v>
      </c>
      <c r="AK20" s="101"/>
    </row>
    <row r="21" spans="1:37">
      <c r="A21" s="27">
        <v>38960</v>
      </c>
      <c r="B21" s="5" t="s">
        <v>34</v>
      </c>
      <c r="C21" s="5">
        <v>14</v>
      </c>
      <c r="D21" s="5"/>
      <c r="E21" s="45"/>
      <c r="F21" s="45">
        <v>1200</v>
      </c>
      <c r="G21" s="45"/>
      <c r="H21" s="45"/>
      <c r="I21" s="45"/>
      <c r="J21" s="45"/>
      <c r="K21" s="45"/>
      <c r="L21" s="45"/>
      <c r="M21" s="45">
        <v>1200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>
        <f t="shared" si="0"/>
        <v>0</v>
      </c>
      <c r="AK21" s="101"/>
    </row>
    <row r="22" spans="1:37">
      <c r="A22" s="27">
        <v>38961</v>
      </c>
      <c r="B22" s="5" t="s">
        <v>34</v>
      </c>
      <c r="C22" s="5">
        <v>15</v>
      </c>
      <c r="D22" s="5"/>
      <c r="E22" s="45"/>
      <c r="F22" s="45">
        <v>2700</v>
      </c>
      <c r="G22" s="45"/>
      <c r="H22" s="45"/>
      <c r="I22" s="45"/>
      <c r="J22" s="45"/>
      <c r="K22" s="45"/>
      <c r="L22" s="45"/>
      <c r="M22" s="45">
        <v>2700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>
        <f t="shared" si="0"/>
        <v>0</v>
      </c>
      <c r="AK22" s="101"/>
    </row>
    <row r="23" spans="1:37">
      <c r="A23" s="27">
        <v>38962</v>
      </c>
      <c r="B23" s="5" t="s">
        <v>34</v>
      </c>
      <c r="C23" s="5">
        <v>16</v>
      </c>
      <c r="D23" s="5"/>
      <c r="E23" s="45"/>
      <c r="F23" s="45">
        <v>1200</v>
      </c>
      <c r="G23" s="45"/>
      <c r="H23" s="45"/>
      <c r="I23" s="45"/>
      <c r="J23" s="45"/>
      <c r="K23" s="45"/>
      <c r="L23" s="45"/>
      <c r="M23" s="45">
        <v>1200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>
        <f t="shared" si="0"/>
        <v>0</v>
      </c>
      <c r="AK23" s="101"/>
    </row>
    <row r="24" spans="1:37">
      <c r="A24" s="27">
        <v>38965</v>
      </c>
      <c r="B24" s="5" t="s">
        <v>34</v>
      </c>
      <c r="C24" s="5">
        <v>17</v>
      </c>
      <c r="D24" s="5"/>
      <c r="E24" s="45"/>
      <c r="F24" s="45">
        <v>1200</v>
      </c>
      <c r="G24" s="45"/>
      <c r="H24" s="45"/>
      <c r="I24" s="45"/>
      <c r="J24" s="45"/>
      <c r="K24" s="45"/>
      <c r="L24" s="45"/>
      <c r="M24" s="45">
        <v>1200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>
        <f t="shared" si="0"/>
        <v>0</v>
      </c>
      <c r="AK24" s="101"/>
    </row>
    <row r="25" spans="1:37">
      <c r="A25" s="27">
        <v>38966</v>
      </c>
      <c r="B25" s="5" t="s">
        <v>34</v>
      </c>
      <c r="C25" s="5">
        <v>18</v>
      </c>
      <c r="D25" s="5"/>
      <c r="E25" s="45"/>
      <c r="F25" s="45">
        <v>900</v>
      </c>
      <c r="G25" s="45"/>
      <c r="H25" s="45"/>
      <c r="I25" s="45"/>
      <c r="J25" s="45"/>
      <c r="K25" s="45"/>
      <c r="L25" s="45"/>
      <c r="M25" s="45">
        <v>900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>
        <f t="shared" si="0"/>
        <v>0</v>
      </c>
      <c r="AK25" s="101"/>
    </row>
    <row r="26" spans="1:37">
      <c r="A26" s="27">
        <v>38967</v>
      </c>
      <c r="B26" s="5" t="s">
        <v>34</v>
      </c>
      <c r="C26" s="5">
        <v>19</v>
      </c>
      <c r="D26" s="5"/>
      <c r="E26" s="45"/>
      <c r="F26" s="45">
        <v>900</v>
      </c>
      <c r="G26" s="45"/>
      <c r="H26" s="45"/>
      <c r="I26" s="45"/>
      <c r="J26" s="45"/>
      <c r="K26" s="45"/>
      <c r="L26" s="45"/>
      <c r="M26" s="45">
        <v>900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>
        <f t="shared" si="0"/>
        <v>0</v>
      </c>
      <c r="AK26" s="101"/>
    </row>
    <row r="27" spans="1:37">
      <c r="A27" s="27">
        <v>38968</v>
      </c>
      <c r="B27" s="5" t="s">
        <v>34</v>
      </c>
      <c r="C27" s="5">
        <v>20</v>
      </c>
      <c r="D27" s="5"/>
      <c r="E27" s="45"/>
      <c r="F27" s="45">
        <v>600</v>
      </c>
      <c r="G27" s="45"/>
      <c r="H27" s="45"/>
      <c r="I27" s="45"/>
      <c r="J27" s="45"/>
      <c r="K27" s="45"/>
      <c r="L27" s="45"/>
      <c r="M27" s="45">
        <v>600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>
        <f t="shared" si="0"/>
        <v>0</v>
      </c>
      <c r="AK27" s="101"/>
    </row>
    <row r="28" spans="1:37">
      <c r="A28" s="27">
        <v>38969</v>
      </c>
      <c r="B28" s="5" t="s">
        <v>34</v>
      </c>
      <c r="C28" s="5">
        <v>21</v>
      </c>
      <c r="D28" s="5"/>
      <c r="E28" s="45"/>
      <c r="F28" s="45">
        <v>300</v>
      </c>
      <c r="G28" s="45"/>
      <c r="H28" s="45"/>
      <c r="I28" s="45"/>
      <c r="J28" s="45"/>
      <c r="K28" s="45"/>
      <c r="L28" s="45"/>
      <c r="M28" s="45">
        <v>300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>
        <f t="shared" si="0"/>
        <v>0</v>
      </c>
      <c r="AK28" s="101"/>
    </row>
    <row r="29" spans="1:37">
      <c r="A29" s="27">
        <v>38972</v>
      </c>
      <c r="B29" s="5" t="s">
        <v>34</v>
      </c>
      <c r="C29" s="5">
        <v>22</v>
      </c>
      <c r="D29" s="5"/>
      <c r="E29" s="45"/>
      <c r="F29" s="45">
        <v>2400</v>
      </c>
      <c r="G29" s="45"/>
      <c r="H29" s="45"/>
      <c r="I29" s="45"/>
      <c r="J29" s="45"/>
      <c r="K29" s="45"/>
      <c r="L29" s="45"/>
      <c r="M29" s="45">
        <v>2400</v>
      </c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>
        <f t="shared" si="0"/>
        <v>0</v>
      </c>
      <c r="AK29" s="101"/>
    </row>
    <row r="30" spans="1:37">
      <c r="A30" s="27">
        <v>38973</v>
      </c>
      <c r="B30" s="5" t="s">
        <v>34</v>
      </c>
      <c r="C30" s="5">
        <v>23</v>
      </c>
      <c r="D30" s="5"/>
      <c r="E30" s="45"/>
      <c r="F30" s="45">
        <v>600</v>
      </c>
      <c r="G30" s="45"/>
      <c r="H30" s="45"/>
      <c r="I30" s="45"/>
      <c r="J30" s="45"/>
      <c r="K30" s="45"/>
      <c r="L30" s="45"/>
      <c r="M30" s="45">
        <v>600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>
        <f t="shared" si="0"/>
        <v>0</v>
      </c>
      <c r="AK30" s="101"/>
    </row>
    <row r="31" spans="1:37">
      <c r="A31" s="27">
        <v>38974</v>
      </c>
      <c r="B31" s="5" t="s">
        <v>34</v>
      </c>
      <c r="C31" s="5">
        <v>24</v>
      </c>
      <c r="D31" s="5"/>
      <c r="E31" s="45"/>
      <c r="F31" s="45">
        <v>300</v>
      </c>
      <c r="G31" s="45"/>
      <c r="H31" s="45"/>
      <c r="I31" s="45"/>
      <c r="J31" s="45"/>
      <c r="K31" s="45"/>
      <c r="L31" s="45"/>
      <c r="M31" s="45">
        <v>300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>
        <f t="shared" si="0"/>
        <v>0</v>
      </c>
      <c r="AK31" s="101"/>
    </row>
    <row r="32" spans="1:37">
      <c r="A32" s="27">
        <v>38975</v>
      </c>
      <c r="B32" s="5" t="s">
        <v>34</v>
      </c>
      <c r="C32" s="5">
        <v>25</v>
      </c>
      <c r="D32" s="5"/>
      <c r="E32" s="45"/>
      <c r="F32" s="45">
        <v>1800</v>
      </c>
      <c r="G32" s="45"/>
      <c r="H32" s="45"/>
      <c r="I32" s="45"/>
      <c r="J32" s="45"/>
      <c r="K32" s="45"/>
      <c r="L32" s="45"/>
      <c r="M32" s="45">
        <v>1800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>
        <f t="shared" si="0"/>
        <v>0</v>
      </c>
      <c r="AK32" s="101"/>
    </row>
    <row r="33" spans="1:37">
      <c r="A33" s="27">
        <v>38976</v>
      </c>
      <c r="B33" s="5" t="s">
        <v>34</v>
      </c>
      <c r="C33" s="5">
        <v>26</v>
      </c>
      <c r="D33" s="5"/>
      <c r="E33" s="45"/>
      <c r="F33" s="45">
        <v>300</v>
      </c>
      <c r="G33" s="45"/>
      <c r="H33" s="45"/>
      <c r="I33" s="45"/>
      <c r="J33" s="45"/>
      <c r="K33" s="45"/>
      <c r="L33" s="45"/>
      <c r="M33" s="45">
        <v>300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>
        <f t="shared" si="0"/>
        <v>0</v>
      </c>
      <c r="AK33" s="101"/>
    </row>
    <row r="34" spans="1:37">
      <c r="A34" s="27">
        <v>38979</v>
      </c>
      <c r="B34" s="5" t="s">
        <v>34</v>
      </c>
      <c r="C34" s="5">
        <v>27</v>
      </c>
      <c r="D34" s="5"/>
      <c r="E34" s="45"/>
      <c r="F34" s="45">
        <v>1200</v>
      </c>
      <c r="G34" s="45"/>
      <c r="H34" s="45"/>
      <c r="I34" s="45"/>
      <c r="J34" s="45"/>
      <c r="K34" s="45"/>
      <c r="L34" s="45"/>
      <c r="M34" s="45">
        <v>1200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>
        <f t="shared" si="0"/>
        <v>0</v>
      </c>
      <c r="AK34" s="101"/>
    </row>
    <row r="35" spans="1:37">
      <c r="A35" s="27">
        <v>38980</v>
      </c>
      <c r="B35" s="5" t="s">
        <v>34</v>
      </c>
      <c r="C35" s="5">
        <v>28</v>
      </c>
      <c r="D35" s="5"/>
      <c r="E35" s="45"/>
      <c r="F35" s="45">
        <v>300</v>
      </c>
      <c r="G35" s="45"/>
      <c r="H35" s="45"/>
      <c r="I35" s="45"/>
      <c r="J35" s="45"/>
      <c r="K35" s="45"/>
      <c r="L35" s="45"/>
      <c r="M35" s="45">
        <v>300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>
        <f t="shared" si="0"/>
        <v>0</v>
      </c>
      <c r="AK35" s="101"/>
    </row>
    <row r="36" spans="1:37">
      <c r="A36" s="27">
        <v>38981</v>
      </c>
      <c r="B36" s="5" t="s">
        <v>34</v>
      </c>
      <c r="C36" s="5">
        <v>29</v>
      </c>
      <c r="D36" s="5"/>
      <c r="E36" s="45"/>
      <c r="F36" s="45">
        <v>900</v>
      </c>
      <c r="G36" s="45"/>
      <c r="H36" s="45"/>
      <c r="I36" s="45"/>
      <c r="J36" s="45"/>
      <c r="K36" s="45"/>
      <c r="L36" s="45"/>
      <c r="M36" s="45">
        <v>900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>
        <f t="shared" si="0"/>
        <v>0</v>
      </c>
      <c r="AK36" s="101"/>
    </row>
    <row r="37" spans="1:37">
      <c r="A37" s="27">
        <v>38988</v>
      </c>
      <c r="B37" s="5" t="s">
        <v>34</v>
      </c>
      <c r="C37" s="5">
        <v>30</v>
      </c>
      <c r="D37" s="5"/>
      <c r="E37" s="45"/>
      <c r="F37" s="45">
        <v>300</v>
      </c>
      <c r="G37" s="45"/>
      <c r="H37" s="45"/>
      <c r="I37" s="45"/>
      <c r="J37" s="45"/>
      <c r="K37" s="45"/>
      <c r="L37" s="45"/>
      <c r="M37" s="45">
        <v>300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>
        <f t="shared" si="0"/>
        <v>0</v>
      </c>
      <c r="AK37" s="101"/>
    </row>
    <row r="38" spans="1:37">
      <c r="A38" s="27">
        <v>38989</v>
      </c>
      <c r="B38" s="5" t="s">
        <v>34</v>
      </c>
      <c r="C38" s="5">
        <v>31</v>
      </c>
      <c r="D38" s="5"/>
      <c r="E38" s="45"/>
      <c r="F38" s="45">
        <v>300</v>
      </c>
      <c r="G38" s="45"/>
      <c r="H38" s="45"/>
      <c r="I38" s="45"/>
      <c r="J38" s="45"/>
      <c r="K38" s="45"/>
      <c r="L38" s="45"/>
      <c r="M38" s="45">
        <v>300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>
        <f t="shared" si="0"/>
        <v>0</v>
      </c>
      <c r="AK38" s="101"/>
    </row>
    <row r="39" spans="1:37">
      <c r="A39" s="27">
        <v>38990</v>
      </c>
      <c r="B39" s="5" t="s">
        <v>34</v>
      </c>
      <c r="C39" s="5">
        <v>32</v>
      </c>
      <c r="D39" s="5"/>
      <c r="E39" s="45"/>
      <c r="F39" s="45">
        <v>900</v>
      </c>
      <c r="G39" s="45"/>
      <c r="H39" s="45"/>
      <c r="I39" s="45"/>
      <c r="J39" s="45"/>
      <c r="K39" s="45"/>
      <c r="L39" s="45"/>
      <c r="M39" s="45">
        <v>900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>
        <f t="shared" si="0"/>
        <v>0</v>
      </c>
      <c r="AK39" s="101"/>
    </row>
    <row r="40" spans="1:37">
      <c r="A40" s="27">
        <v>38993</v>
      </c>
      <c r="B40" s="5" t="s">
        <v>34</v>
      </c>
      <c r="C40" s="5">
        <v>33</v>
      </c>
      <c r="D40" s="5"/>
      <c r="E40" s="45"/>
      <c r="F40" s="45">
        <v>1200</v>
      </c>
      <c r="G40" s="45"/>
      <c r="H40" s="45"/>
      <c r="I40" s="45"/>
      <c r="J40" s="45"/>
      <c r="K40" s="45"/>
      <c r="L40" s="45"/>
      <c r="M40" s="45">
        <v>1200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>
        <f t="shared" si="0"/>
        <v>0</v>
      </c>
      <c r="AK40" s="101"/>
    </row>
    <row r="41" spans="1:37">
      <c r="A41" s="27">
        <v>38993</v>
      </c>
      <c r="B41" s="5" t="s">
        <v>35</v>
      </c>
      <c r="C41" s="5">
        <v>34</v>
      </c>
      <c r="D41" s="5"/>
      <c r="E41" s="45"/>
      <c r="F41" s="45"/>
      <c r="G41" s="45">
        <v>5000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101"/>
      <c r="AA41" s="101"/>
      <c r="AB41" s="101"/>
      <c r="AC41" s="101"/>
      <c r="AD41" s="101"/>
      <c r="AE41" s="101"/>
      <c r="AF41" s="101"/>
      <c r="AG41" s="101"/>
      <c r="AH41" s="101">
        <v>5000</v>
      </c>
      <c r="AI41" s="101"/>
      <c r="AJ41" s="101">
        <f t="shared" si="0"/>
        <v>0</v>
      </c>
      <c r="AK41" s="101" t="s">
        <v>209</v>
      </c>
    </row>
    <row r="42" spans="1:37">
      <c r="A42" s="27">
        <v>39000</v>
      </c>
      <c r="B42" s="5" t="s">
        <v>34</v>
      </c>
      <c r="C42" s="5">
        <v>35</v>
      </c>
      <c r="D42" s="5"/>
      <c r="E42" s="45"/>
      <c r="F42" s="45">
        <v>900</v>
      </c>
      <c r="G42" s="45"/>
      <c r="H42" s="45"/>
      <c r="I42" s="45"/>
      <c r="J42" s="45"/>
      <c r="K42" s="45"/>
      <c r="L42" s="45"/>
      <c r="M42" s="45">
        <v>900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>
        <f t="shared" si="0"/>
        <v>0</v>
      </c>
      <c r="AK42" s="101"/>
    </row>
    <row r="43" spans="1:37">
      <c r="A43" s="27">
        <v>39001</v>
      </c>
      <c r="B43" s="5" t="s">
        <v>213</v>
      </c>
      <c r="C43" s="5">
        <v>36</v>
      </c>
      <c r="D43" s="5"/>
      <c r="E43" s="45"/>
      <c r="F43" s="45"/>
      <c r="G43" s="45">
        <f>1040</f>
        <v>1040</v>
      </c>
      <c r="H43" s="45"/>
      <c r="I43" s="45"/>
      <c r="J43" s="45">
        <v>520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101"/>
      <c r="AA43" s="101"/>
      <c r="AB43" s="101"/>
      <c r="AC43" s="101"/>
      <c r="AD43" s="101"/>
      <c r="AE43" s="101"/>
      <c r="AF43" s="101"/>
      <c r="AG43" s="101"/>
      <c r="AH43" s="101">
        <f>520</f>
        <v>520</v>
      </c>
      <c r="AI43" s="101"/>
      <c r="AJ43" s="101">
        <f t="shared" si="0"/>
        <v>0</v>
      </c>
      <c r="AK43" s="101" t="s">
        <v>215</v>
      </c>
    </row>
    <row r="44" spans="1:37">
      <c r="A44" s="27">
        <v>39002</v>
      </c>
      <c r="B44" s="5" t="s">
        <v>34</v>
      </c>
      <c r="C44" s="5">
        <v>37</v>
      </c>
      <c r="D44" s="5"/>
      <c r="E44" s="45"/>
      <c r="F44" s="45">
        <v>300</v>
      </c>
      <c r="G44" s="45"/>
      <c r="H44" s="45"/>
      <c r="I44" s="45"/>
      <c r="J44" s="45"/>
      <c r="K44" s="45"/>
      <c r="L44" s="45"/>
      <c r="M44" s="45">
        <v>300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>
        <f t="shared" si="0"/>
        <v>0</v>
      </c>
      <c r="AK44" s="101"/>
    </row>
    <row r="45" spans="1:37">
      <c r="A45" s="27">
        <v>39008</v>
      </c>
      <c r="B45" s="5" t="s">
        <v>34</v>
      </c>
      <c r="C45" s="5">
        <v>38</v>
      </c>
      <c r="D45" s="5"/>
      <c r="E45" s="45"/>
      <c r="F45" s="45">
        <v>300</v>
      </c>
      <c r="G45" s="45"/>
      <c r="H45" s="45"/>
      <c r="I45" s="45"/>
      <c r="J45" s="45"/>
      <c r="K45" s="45"/>
      <c r="L45" s="45"/>
      <c r="M45" s="45">
        <v>300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>
        <f t="shared" si="0"/>
        <v>0</v>
      </c>
      <c r="AK45" s="101"/>
    </row>
    <row r="46" spans="1:37">
      <c r="A46" s="27">
        <v>39021</v>
      </c>
      <c r="B46" s="5" t="s">
        <v>34</v>
      </c>
      <c r="C46" s="5">
        <v>39</v>
      </c>
      <c r="D46" s="5"/>
      <c r="E46" s="45"/>
      <c r="F46" s="45">
        <v>300</v>
      </c>
      <c r="G46" s="45"/>
      <c r="H46" s="45"/>
      <c r="I46" s="45"/>
      <c r="J46" s="45"/>
      <c r="K46" s="45"/>
      <c r="L46" s="45"/>
      <c r="M46" s="45">
        <v>300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>
        <f t="shared" si="0"/>
        <v>0</v>
      </c>
      <c r="AK46" s="101"/>
    </row>
    <row r="47" spans="1:37">
      <c r="A47" s="27">
        <v>39020</v>
      </c>
      <c r="B47" s="5" t="s">
        <v>214</v>
      </c>
      <c r="C47" s="5">
        <v>40</v>
      </c>
      <c r="D47" s="5"/>
      <c r="E47" s="45"/>
      <c r="F47" s="45"/>
      <c r="G47" s="45">
        <v>1590</v>
      </c>
      <c r="H47" s="45"/>
      <c r="I47" s="45"/>
      <c r="J47" s="45">
        <f>1590+520</f>
        <v>2110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>
        <v>520</v>
      </c>
      <c r="AJ47" s="101">
        <f t="shared" si="0"/>
        <v>0</v>
      </c>
      <c r="AK47" s="101" t="s">
        <v>212</v>
      </c>
    </row>
    <row r="48" spans="1:37">
      <c r="A48" s="27">
        <v>39020</v>
      </c>
      <c r="B48" s="5" t="s">
        <v>38</v>
      </c>
      <c r="C48" s="5">
        <v>41</v>
      </c>
      <c r="D48" s="5"/>
      <c r="E48" s="45"/>
      <c r="F48" s="45"/>
      <c r="G48" s="45">
        <v>669</v>
      </c>
      <c r="H48" s="45"/>
      <c r="I48" s="45"/>
      <c r="J48" s="45">
        <v>669</v>
      </c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>
        <f t="shared" si="0"/>
        <v>0</v>
      </c>
      <c r="AK48" s="101"/>
    </row>
    <row r="49" spans="1:37">
      <c r="A49" s="27"/>
      <c r="B49" s="5"/>
      <c r="C49" s="5"/>
      <c r="D49" s="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>
        <f t="shared" si="0"/>
        <v>0</v>
      </c>
      <c r="AK49" s="101"/>
    </row>
    <row r="50" spans="1:37">
      <c r="A50" s="27">
        <v>39027</v>
      </c>
      <c r="B50" s="5" t="s">
        <v>39</v>
      </c>
      <c r="C50" s="5">
        <v>42</v>
      </c>
      <c r="D50" s="5"/>
      <c r="E50" s="45"/>
      <c r="F50" s="45"/>
      <c r="G50" s="45">
        <v>2500</v>
      </c>
      <c r="H50" s="45"/>
      <c r="I50" s="45"/>
      <c r="J50" s="45">
        <v>2500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>
        <f t="shared" si="0"/>
        <v>0</v>
      </c>
      <c r="AK50" s="101"/>
    </row>
    <row r="51" spans="1:37">
      <c r="A51" s="27">
        <v>39027</v>
      </c>
      <c r="B51" s="5" t="s">
        <v>40</v>
      </c>
      <c r="C51" s="5">
        <v>43</v>
      </c>
      <c r="D51" s="5"/>
      <c r="E51" s="45"/>
      <c r="F51" s="45"/>
      <c r="G51" s="45">
        <v>5000</v>
      </c>
      <c r="H51" s="45"/>
      <c r="I51" s="45"/>
      <c r="J51" s="45">
        <v>5000</v>
      </c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>
        <f t="shared" si="0"/>
        <v>0</v>
      </c>
      <c r="AK51" s="101"/>
    </row>
    <row r="52" spans="1:37">
      <c r="A52" s="27">
        <v>39039</v>
      </c>
      <c r="B52" s="5" t="s">
        <v>34</v>
      </c>
      <c r="C52" s="5">
        <v>44</v>
      </c>
      <c r="D52" s="5"/>
      <c r="E52" s="45"/>
      <c r="F52" s="45">
        <v>300</v>
      </c>
      <c r="G52" s="45"/>
      <c r="H52" s="45"/>
      <c r="I52" s="45"/>
      <c r="J52" s="45"/>
      <c r="K52" s="45"/>
      <c r="L52" s="45"/>
      <c r="M52" s="45">
        <v>300</v>
      </c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>
        <f t="shared" si="0"/>
        <v>0</v>
      </c>
      <c r="AK52" s="101"/>
    </row>
    <row r="53" spans="1:37">
      <c r="A53" s="27">
        <v>39056</v>
      </c>
      <c r="B53" s="5" t="s">
        <v>45</v>
      </c>
      <c r="C53" s="5">
        <v>45</v>
      </c>
      <c r="D53" s="5"/>
      <c r="E53" s="45"/>
      <c r="F53" s="45"/>
      <c r="G53" s="45">
        <v>702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101"/>
      <c r="AA53" s="101"/>
      <c r="AB53" s="101"/>
      <c r="AC53" s="101"/>
      <c r="AD53" s="101"/>
      <c r="AE53" s="101"/>
      <c r="AF53" s="101"/>
      <c r="AG53" s="101"/>
      <c r="AH53" s="101">
        <v>702</v>
      </c>
      <c r="AI53" s="101"/>
      <c r="AJ53" s="101">
        <f t="shared" si="0"/>
        <v>0</v>
      </c>
      <c r="AK53" s="101" t="s">
        <v>194</v>
      </c>
    </row>
    <row r="54" spans="1:37">
      <c r="A54" s="27">
        <v>39082</v>
      </c>
      <c r="B54" s="5" t="s">
        <v>47</v>
      </c>
      <c r="C54" s="5">
        <v>46</v>
      </c>
      <c r="D54" s="5"/>
      <c r="E54" s="45"/>
      <c r="F54" s="45">
        <v>78.510000000000005</v>
      </c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>
        <v>78.510000000000005</v>
      </c>
      <c r="R54" s="45"/>
      <c r="S54" s="45"/>
      <c r="T54" s="45"/>
      <c r="U54" s="45"/>
      <c r="V54" s="45"/>
      <c r="W54" s="45"/>
      <c r="X54" s="45"/>
      <c r="Y54" s="45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>
        <f t="shared" si="0"/>
        <v>0</v>
      </c>
      <c r="AK54" s="101"/>
    </row>
    <row r="55" spans="1:37">
      <c r="A55" s="27">
        <v>39082</v>
      </c>
      <c r="B55" s="5" t="s">
        <v>48</v>
      </c>
      <c r="C55" s="5">
        <v>47</v>
      </c>
      <c r="D55" s="5"/>
      <c r="E55" s="45"/>
      <c r="F55" s="45"/>
      <c r="G55" s="45">
        <v>111</v>
      </c>
      <c r="H55" s="45"/>
      <c r="I55" s="45"/>
      <c r="J55" s="45">
        <v>111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>
        <f t="shared" si="0"/>
        <v>0</v>
      </c>
      <c r="AK55" s="101"/>
    </row>
    <row r="56" spans="1:37">
      <c r="B56" s="5" t="s">
        <v>50</v>
      </c>
      <c r="C56" s="5"/>
      <c r="D56" s="5"/>
      <c r="E56" s="45"/>
      <c r="F56" s="45"/>
      <c r="G56" s="45"/>
      <c r="H56" s="45"/>
      <c r="I56" s="45"/>
      <c r="J56" s="45">
        <v>12842</v>
      </c>
      <c r="K56" s="45"/>
      <c r="L56" s="45"/>
      <c r="M56" s="45"/>
      <c r="N56" s="45"/>
      <c r="O56" s="45"/>
      <c r="P56" s="45"/>
      <c r="Q56" s="45"/>
      <c r="R56" s="45"/>
      <c r="S56" s="45">
        <v>12842</v>
      </c>
      <c r="T56" s="45"/>
      <c r="U56" s="45"/>
      <c r="V56" s="45"/>
      <c r="W56" s="45"/>
      <c r="X56" s="45"/>
      <c r="Y56" s="45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>
        <f t="shared" si="0"/>
        <v>0</v>
      </c>
      <c r="AK56" s="101"/>
    </row>
    <row r="57" spans="1:37">
      <c r="B57" s="5" t="s">
        <v>210</v>
      </c>
      <c r="C57" s="5"/>
      <c r="D57" s="5"/>
      <c r="E57" s="45"/>
      <c r="F57" s="45"/>
      <c r="G57" s="45"/>
      <c r="H57" s="45"/>
      <c r="I57" s="45"/>
      <c r="J57" s="45">
        <v>4583.5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>
        <v>4583.5</v>
      </c>
      <c r="AJ57" s="101">
        <f t="shared" si="0"/>
        <v>0</v>
      </c>
      <c r="AK57" s="101" t="s">
        <v>211</v>
      </c>
    </row>
    <row r="58" spans="1:37">
      <c r="B58" s="5" t="s">
        <v>228</v>
      </c>
      <c r="C58" s="5"/>
      <c r="D58" s="5"/>
      <c r="E58" s="45"/>
      <c r="F58" s="45"/>
      <c r="G58" s="45"/>
      <c r="H58" s="45"/>
      <c r="I58" s="45"/>
      <c r="J58" s="45"/>
      <c r="K58" s="45">
        <v>1100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101"/>
      <c r="AA58" s="101"/>
      <c r="AB58" s="101"/>
      <c r="AC58" s="101"/>
      <c r="AD58" s="101"/>
      <c r="AE58" s="101"/>
      <c r="AF58" s="101"/>
      <c r="AG58" s="101"/>
      <c r="AH58" s="101">
        <v>1100</v>
      </c>
      <c r="AI58" s="101"/>
      <c r="AJ58" s="101">
        <f t="shared" si="0"/>
        <v>0</v>
      </c>
      <c r="AK58" s="101" t="s">
        <v>222</v>
      </c>
    </row>
    <row r="59" spans="1:37">
      <c r="B59" s="5" t="s">
        <v>227</v>
      </c>
      <c r="C59" s="5"/>
      <c r="D59" s="5"/>
      <c r="E59" s="45"/>
      <c r="F59" s="45"/>
      <c r="G59" s="45"/>
      <c r="H59" s="45"/>
      <c r="I59" s="45"/>
      <c r="J59" s="45">
        <f>1022*2</f>
        <v>2044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101"/>
      <c r="AA59" s="101"/>
      <c r="AB59" s="101"/>
      <c r="AC59" s="101"/>
      <c r="AD59" s="101"/>
      <c r="AE59" s="101"/>
      <c r="AF59" s="101"/>
      <c r="AG59" s="101">
        <v>2044</v>
      </c>
      <c r="AH59" s="101"/>
      <c r="AI59" s="101"/>
      <c r="AJ59" s="101">
        <f t="shared" si="0"/>
        <v>0</v>
      </c>
      <c r="AK59" s="101" t="s">
        <v>229</v>
      </c>
    </row>
    <row r="60" spans="1:37">
      <c r="B60" s="5" t="s">
        <v>230</v>
      </c>
      <c r="C60" s="5"/>
      <c r="D60" s="5"/>
      <c r="E60" s="45"/>
      <c r="F60" s="45"/>
      <c r="G60" s="45"/>
      <c r="H60" s="45"/>
      <c r="I60" s="45"/>
      <c r="J60" s="45">
        <v>217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>
        <v>217</v>
      </c>
      <c r="AJ60" s="101">
        <f t="shared" si="0"/>
        <v>0</v>
      </c>
      <c r="AK60" s="101" t="s">
        <v>231</v>
      </c>
    </row>
    <row r="61" spans="1:37">
      <c r="B61" s="5" t="s">
        <v>235</v>
      </c>
      <c r="C61" s="5"/>
      <c r="D61" s="5"/>
      <c r="E61" s="45"/>
      <c r="F61" s="45"/>
      <c r="G61" s="45"/>
      <c r="H61" s="45"/>
      <c r="I61" s="45"/>
      <c r="J61" s="45">
        <v>3050</v>
      </c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101"/>
      <c r="AA61" s="101"/>
      <c r="AB61" s="101"/>
      <c r="AC61" s="101">
        <v>3050</v>
      </c>
      <c r="AD61" s="101"/>
      <c r="AE61" s="101"/>
      <c r="AF61" s="101"/>
      <c r="AG61" s="101"/>
      <c r="AH61" s="101"/>
      <c r="AI61" s="101"/>
      <c r="AJ61" s="101">
        <f t="shared" si="0"/>
        <v>0</v>
      </c>
      <c r="AK61" s="101"/>
    </row>
    <row r="62" spans="1:37" ht="13.5" thickBot="1">
      <c r="A62" s="28"/>
      <c r="B62" s="12" t="s">
        <v>234</v>
      </c>
      <c r="C62" s="12"/>
      <c r="D62" s="12"/>
      <c r="E62" s="99"/>
      <c r="F62" s="99"/>
      <c r="G62" s="99"/>
      <c r="H62" s="99"/>
      <c r="I62" s="99"/>
      <c r="J62" s="99"/>
      <c r="K62" s="99"/>
      <c r="L62" s="99"/>
      <c r="M62" s="99"/>
      <c r="N62" s="99">
        <v>15250</v>
      </c>
      <c r="O62" s="99"/>
      <c r="P62" s="99"/>
      <c r="Q62" s="99">
        <v>15250</v>
      </c>
      <c r="R62" s="99"/>
      <c r="S62" s="99"/>
      <c r="T62" s="99"/>
      <c r="U62" s="99"/>
      <c r="V62" s="99"/>
      <c r="W62" s="99"/>
      <c r="X62" s="99"/>
      <c r="Y62" s="99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1">
        <f t="shared" si="0"/>
        <v>0</v>
      </c>
      <c r="AK62" s="101"/>
    </row>
    <row r="63" spans="1:37">
      <c r="B63" s="5" t="s">
        <v>41</v>
      </c>
      <c r="C63" s="5"/>
      <c r="D63" s="5">
        <f>SUM(D7:D62)</f>
        <v>374.05</v>
      </c>
      <c r="E63" s="45"/>
      <c r="F63" s="45">
        <f>SUM(F7:F62)</f>
        <v>86550.39</v>
      </c>
      <c r="G63" s="45"/>
      <c r="H63" s="45">
        <f>SUM(H7:H62)</f>
        <v>12283.169999999998</v>
      </c>
      <c r="I63" s="45"/>
      <c r="J63" s="45">
        <f>SUM(J7:J62)</f>
        <v>33920.5</v>
      </c>
      <c r="K63" s="45"/>
      <c r="L63" s="45">
        <f>SUM(L7:L62)</f>
        <v>0</v>
      </c>
      <c r="M63" s="45"/>
      <c r="N63" s="45">
        <f>SUM(N7:N62)</f>
        <v>760384.94</v>
      </c>
      <c r="O63" s="45"/>
      <c r="P63" s="45">
        <f>SUM(P7:P62)</f>
        <v>0</v>
      </c>
      <c r="Q63" s="45"/>
      <c r="R63" s="45">
        <f>SUM(R7:R62)</f>
        <v>38527</v>
      </c>
      <c r="S63" s="45"/>
      <c r="T63" s="45">
        <f>SUM(T7:T62)</f>
        <v>950000</v>
      </c>
      <c r="U63" s="45"/>
      <c r="V63" s="45">
        <f>SUM(V7:V62)</f>
        <v>112480</v>
      </c>
      <c r="W63" s="45"/>
      <c r="X63" s="45">
        <f>SUM(X7:X62)</f>
        <v>5000</v>
      </c>
      <c r="Y63" s="45"/>
      <c r="Z63" s="45">
        <f>SUM(Z7:Z62)</f>
        <v>0</v>
      </c>
      <c r="AA63" s="101"/>
      <c r="AB63" s="45">
        <f>SUM(AB7:AB62)</f>
        <v>0</v>
      </c>
      <c r="AC63" s="101"/>
      <c r="AD63" s="45">
        <f>SUM(AD7:AD62)</f>
        <v>35661.17</v>
      </c>
      <c r="AE63" s="101"/>
      <c r="AF63" s="45">
        <f>SUM(AF7:AF62)</f>
        <v>0</v>
      </c>
      <c r="AG63" s="101"/>
      <c r="AH63" s="45">
        <f>SUM(AH7:AH62)</f>
        <v>75470.679999999993</v>
      </c>
      <c r="AI63" s="101"/>
      <c r="AJ63" s="101">
        <f>D65+F65+H65+N65+R65+T65+V65+X65+AH65</f>
        <v>1953788.7299999997</v>
      </c>
      <c r="AK63" s="101" t="s">
        <v>28</v>
      </c>
    </row>
    <row r="64" spans="1:37">
      <c r="B64" s="21" t="s">
        <v>42</v>
      </c>
      <c r="C64" s="21"/>
      <c r="D64" s="21"/>
      <c r="E64" s="20">
        <f>SUM(E7:E62)</f>
        <v>274</v>
      </c>
      <c r="F64" s="20"/>
      <c r="G64" s="20">
        <f>SUM(G7:G62)</f>
        <v>16612</v>
      </c>
      <c r="H64" s="20"/>
      <c r="I64" s="20">
        <f>SUM(I7:I62)</f>
        <v>12283</v>
      </c>
      <c r="J64" s="20"/>
      <c r="K64" s="20">
        <f>SUM(K7:K62)</f>
        <v>1100</v>
      </c>
      <c r="L64" s="20"/>
      <c r="M64" s="20">
        <f>SUM(M7:M62)</f>
        <v>30900</v>
      </c>
      <c r="N64" s="20"/>
      <c r="O64" s="20">
        <f>SUM(O7:O62)</f>
        <v>0</v>
      </c>
      <c r="P64" s="20"/>
      <c r="Q64" s="20">
        <f>SUM(Q7:Q62)</f>
        <v>15334.72</v>
      </c>
      <c r="R64" s="20"/>
      <c r="S64" s="20">
        <f>SUM(S7:S62)</f>
        <v>12842</v>
      </c>
      <c r="T64" s="20"/>
      <c r="U64" s="20">
        <f>SUM(U7:U62)</f>
        <v>0</v>
      </c>
      <c r="V64" s="20"/>
      <c r="W64" s="20">
        <f>SUM(W7:W62)</f>
        <v>0</v>
      </c>
      <c r="X64" s="20"/>
      <c r="Y64" s="20">
        <f>SUM(Y7:Y62)</f>
        <v>0</v>
      </c>
      <c r="Z64" s="105"/>
      <c r="AA64" s="20">
        <f>SUM(AA7:AA62)</f>
        <v>1118849</v>
      </c>
      <c r="AB64" s="105"/>
      <c r="AC64" s="20">
        <f>SUM(AC7:AC62)</f>
        <v>676602.26</v>
      </c>
      <c r="AD64" s="105"/>
      <c r="AE64" s="20">
        <f>SUM(AE7:AE62)</f>
        <v>177912.42</v>
      </c>
      <c r="AF64" s="105"/>
      <c r="AG64" s="20">
        <f>SUM(AG7:AG62)</f>
        <v>2672</v>
      </c>
      <c r="AH64" s="101"/>
      <c r="AI64" s="20">
        <f>SUM(AI7:AI62)</f>
        <v>45270.5</v>
      </c>
      <c r="AJ64" s="101">
        <f>AA65+AC65+AE65+AG65</f>
        <v>1940374.51</v>
      </c>
      <c r="AK64" s="101" t="s">
        <v>196</v>
      </c>
    </row>
    <row r="65" spans="2:37">
      <c r="B65" s="21"/>
      <c r="C65" s="21"/>
      <c r="D65" s="106">
        <f>IF(D63&gt;=E64,D63-E64)</f>
        <v>100.05000000000001</v>
      </c>
      <c r="E65" s="100"/>
      <c r="F65" s="106">
        <f>IF(F63&gt;=G64,F63-G64)</f>
        <v>69938.39</v>
      </c>
      <c r="G65" s="100"/>
      <c r="H65" s="106">
        <f>IF(H63&gt;=I64,H63-I64)</f>
        <v>0.16999999999825377</v>
      </c>
      <c r="I65" s="100"/>
      <c r="J65" s="106">
        <f>IF(J63&gt;=K64,J63-K64)</f>
        <v>32820.5</v>
      </c>
      <c r="K65" s="100"/>
      <c r="L65" s="106"/>
      <c r="M65" s="106">
        <v>30900</v>
      </c>
      <c r="N65" s="106">
        <f>IF(N63&gt;=O64,N63-O64)</f>
        <v>760384.94</v>
      </c>
      <c r="O65" s="100"/>
      <c r="P65" s="106"/>
      <c r="Q65" s="100">
        <v>15334.72</v>
      </c>
      <c r="R65" s="106">
        <f>IF(R63&gt;=S64,R63-S64)</f>
        <v>25685</v>
      </c>
      <c r="S65" s="100"/>
      <c r="T65" s="106">
        <f>IF(T63&gt;=U64,T63-U64)</f>
        <v>950000</v>
      </c>
      <c r="U65" s="100"/>
      <c r="V65" s="106">
        <f>IF(V63&gt;=W64,V63-W64)</f>
        <v>112480</v>
      </c>
      <c r="W65" s="100"/>
      <c r="X65" s="106">
        <f>IF(X63&gt;=Y64,X63-Y64)</f>
        <v>5000</v>
      </c>
      <c r="Y65" s="100"/>
      <c r="Z65" s="106"/>
      <c r="AA65" s="107">
        <v>1118849</v>
      </c>
      <c r="AB65" s="106"/>
      <c r="AC65" s="107">
        <v>676602.26</v>
      </c>
      <c r="AD65" s="106"/>
      <c r="AE65" s="107">
        <f>AE64-AD63</f>
        <v>142251.25</v>
      </c>
      <c r="AF65" s="107"/>
      <c r="AG65" s="101">
        <v>2672</v>
      </c>
      <c r="AH65" s="101">
        <f>AH63-AI64</f>
        <v>30200.179999999993</v>
      </c>
      <c r="AI65" s="101"/>
      <c r="AJ65" s="101">
        <f>-(J65-M65-Q65)</f>
        <v>13414.22</v>
      </c>
      <c r="AK65" s="101" t="s">
        <v>141</v>
      </c>
    </row>
    <row r="66" spans="2:37">
      <c r="AJ66">
        <f>SUM(AJ64:AJ65)-AJ63</f>
        <v>0</v>
      </c>
      <c r="AK66" t="s">
        <v>197</v>
      </c>
    </row>
    <row r="67" spans="2:37">
      <c r="F67">
        <v>69942.080000000002</v>
      </c>
      <c r="G67" s="26" t="s">
        <v>195</v>
      </c>
      <c r="H67">
        <v>2004</v>
      </c>
    </row>
    <row r="68" spans="2:37">
      <c r="F68">
        <f>F65-F67</f>
        <v>-3.6900000000023283</v>
      </c>
      <c r="G68">
        <v>2.91</v>
      </c>
      <c r="H68">
        <f>SUM(F68:G68)</f>
        <v>-0.78000000000232816</v>
      </c>
    </row>
    <row r="69" spans="2:37">
      <c r="E69" s="43"/>
    </row>
    <row r="73" spans="2:37">
      <c r="B73" s="33" t="s">
        <v>51</v>
      </c>
      <c r="C73" s="5"/>
      <c r="D73" s="34">
        <v>2005</v>
      </c>
      <c r="E73" s="34">
        <v>2004</v>
      </c>
    </row>
    <row r="74" spans="2:37">
      <c r="B74" s="35"/>
    </row>
    <row r="75" spans="2:37">
      <c r="B75" s="33" t="s">
        <v>52</v>
      </c>
    </row>
    <row r="76" spans="2:37">
      <c r="B76" s="33" t="s">
        <v>53</v>
      </c>
      <c r="I76" s="33" t="s">
        <v>59</v>
      </c>
      <c r="J76" s="35"/>
      <c r="L76" s="34"/>
      <c r="M76" s="34"/>
    </row>
    <row r="77" spans="2:37">
      <c r="B77" s="36" t="s">
        <v>54</v>
      </c>
      <c r="D77" s="77">
        <f>D65</f>
        <v>100.05000000000001</v>
      </c>
      <c r="E77" s="77">
        <v>374.05</v>
      </c>
      <c r="I77" s="35" t="s">
        <v>142</v>
      </c>
      <c r="J77" s="35"/>
      <c r="K77" s="77">
        <v>2050</v>
      </c>
      <c r="L77" s="75"/>
      <c r="M77" s="75"/>
    </row>
    <row r="78" spans="2:37">
      <c r="B78" s="36" t="s">
        <v>55</v>
      </c>
      <c r="D78" s="77">
        <f>F65</f>
        <v>69938.39</v>
      </c>
      <c r="E78" s="77">
        <v>3338.37</v>
      </c>
      <c r="I78" s="5" t="s">
        <v>107</v>
      </c>
      <c r="J78" s="64"/>
      <c r="K78" s="77">
        <v>682</v>
      </c>
      <c r="L78" s="75"/>
      <c r="M78" s="75"/>
    </row>
    <row r="79" spans="2:37">
      <c r="B79" s="36" t="s">
        <v>56</v>
      </c>
      <c r="D79" s="77">
        <f>H65</f>
        <v>0.16999999999825377</v>
      </c>
      <c r="E79" s="77">
        <v>12276.96</v>
      </c>
      <c r="I79" s="5" t="s">
        <v>143</v>
      </c>
      <c r="J79" s="64"/>
      <c r="K79" s="77">
        <v>335.5</v>
      </c>
      <c r="L79" s="75"/>
      <c r="M79" s="75"/>
    </row>
    <row r="80" spans="2:37">
      <c r="B80" s="36" t="s">
        <v>57</v>
      </c>
      <c r="D80" s="77">
        <f>N65</f>
        <v>760384.94</v>
      </c>
      <c r="E80" s="77">
        <v>745134.94</v>
      </c>
      <c r="I80" s="5" t="s">
        <v>105</v>
      </c>
      <c r="J80" s="64"/>
      <c r="K80" s="77">
        <v>5422</v>
      </c>
      <c r="L80" s="75"/>
      <c r="M80" s="75"/>
    </row>
    <row r="81" spans="2:13">
      <c r="B81" s="36" t="s">
        <v>58</v>
      </c>
      <c r="C81" t="s">
        <v>80</v>
      </c>
      <c r="D81" s="93">
        <f>4429.68+AH41-AI57+AH58</f>
        <v>5946.18</v>
      </c>
      <c r="E81" s="77">
        <v>4429.68</v>
      </c>
      <c r="I81" s="5" t="s">
        <v>120</v>
      </c>
      <c r="J81" s="64"/>
      <c r="K81" s="77">
        <v>14880</v>
      </c>
      <c r="L81" s="75"/>
      <c r="M81" s="75"/>
    </row>
    <row r="82" spans="2:13">
      <c r="B82" s="36" t="s">
        <v>78</v>
      </c>
      <c r="D82" s="77">
        <v>0</v>
      </c>
      <c r="E82" s="77">
        <v>217</v>
      </c>
      <c r="I82" s="5" t="s">
        <v>122</v>
      </c>
      <c r="J82" s="64"/>
      <c r="K82" s="77">
        <v>1386</v>
      </c>
      <c r="L82" s="75"/>
      <c r="M82" s="75"/>
    </row>
    <row r="83" spans="2:13">
      <c r="B83" s="36" t="s">
        <v>59</v>
      </c>
      <c r="C83" t="s">
        <v>80</v>
      </c>
      <c r="D83" s="77">
        <f>42874-AI8</f>
        <v>2924</v>
      </c>
      <c r="E83" s="77">
        <v>7500</v>
      </c>
      <c r="I83" s="5" t="s">
        <v>122</v>
      </c>
      <c r="J83" s="64"/>
      <c r="K83" s="77">
        <v>97.5</v>
      </c>
      <c r="L83" s="75"/>
      <c r="M83" s="75"/>
    </row>
    <row r="84" spans="2:13">
      <c r="B84" s="36" t="s">
        <v>144</v>
      </c>
      <c r="C84" t="s">
        <v>80</v>
      </c>
      <c r="D84" s="77">
        <f>5000+AH53+AH50</f>
        <v>5702</v>
      </c>
      <c r="E84" s="77">
        <v>15000</v>
      </c>
      <c r="F84" s="39"/>
      <c r="I84" s="5" t="s">
        <v>122</v>
      </c>
      <c r="J84" s="65"/>
      <c r="K84" s="77">
        <v>520.5</v>
      </c>
      <c r="L84" s="75"/>
      <c r="M84" s="75"/>
    </row>
    <row r="85" spans="2:13">
      <c r="B85" s="36" t="s">
        <v>145</v>
      </c>
      <c r="D85" s="77">
        <v>15000</v>
      </c>
      <c r="E85" s="77">
        <v>42874</v>
      </c>
      <c r="I85" s="5" t="s">
        <v>123</v>
      </c>
      <c r="J85" s="64"/>
      <c r="K85" s="77">
        <v>-198.75</v>
      </c>
      <c r="L85" s="75"/>
      <c r="M85" s="75"/>
    </row>
    <row r="86" spans="2:13">
      <c r="B86" s="33" t="s">
        <v>60</v>
      </c>
      <c r="D86" s="78">
        <f>SUM(D77:D85)</f>
        <v>859995.73</v>
      </c>
      <c r="E86" s="78">
        <v>831145</v>
      </c>
      <c r="F86" s="37"/>
      <c r="I86" s="5" t="s">
        <v>146</v>
      </c>
      <c r="J86" s="64"/>
      <c r="K86" s="77">
        <v>614</v>
      </c>
      <c r="L86" s="75"/>
      <c r="M86" s="75"/>
    </row>
    <row r="87" spans="2:13">
      <c r="B87" s="35"/>
      <c r="D87" s="77"/>
      <c r="E87" s="77"/>
      <c r="F87" s="37"/>
      <c r="I87" s="5" t="s">
        <v>129</v>
      </c>
      <c r="J87" s="64"/>
      <c r="K87" s="77">
        <v>3033</v>
      </c>
      <c r="L87" s="75"/>
      <c r="M87" s="75"/>
    </row>
    <row r="88" spans="2:13">
      <c r="B88" s="35"/>
      <c r="D88" s="77"/>
      <c r="E88" s="94"/>
      <c r="F88" s="37"/>
      <c r="I88" s="5" t="s">
        <v>128</v>
      </c>
      <c r="J88" s="64"/>
      <c r="K88" s="77">
        <v>249.75</v>
      </c>
      <c r="L88" s="75"/>
      <c r="M88" s="75"/>
    </row>
    <row r="89" spans="2:13">
      <c r="B89" s="33" t="s">
        <v>61</v>
      </c>
      <c r="D89" s="77"/>
      <c r="E89" s="77"/>
      <c r="F89" s="37"/>
      <c r="I89" s="5" t="s">
        <v>130</v>
      </c>
      <c r="J89" s="64"/>
      <c r="K89" s="77">
        <v>14430.5</v>
      </c>
      <c r="L89" s="75"/>
      <c r="M89" s="75"/>
    </row>
    <row r="90" spans="2:13">
      <c r="B90" s="35" t="s">
        <v>62</v>
      </c>
      <c r="D90" s="77">
        <f>R65</f>
        <v>25685</v>
      </c>
      <c r="E90" s="77">
        <v>38527</v>
      </c>
      <c r="F90" s="37"/>
      <c r="I90" s="5" t="s">
        <v>147</v>
      </c>
      <c r="J90" s="64"/>
      <c r="K90" s="77">
        <v>-628</v>
      </c>
      <c r="L90" s="75"/>
      <c r="M90" s="75"/>
    </row>
    <row r="91" spans="2:13">
      <c r="B91" s="35" t="s">
        <v>63</v>
      </c>
      <c r="D91" s="77">
        <f>T65</f>
        <v>950000</v>
      </c>
      <c r="E91" s="77">
        <v>950000</v>
      </c>
      <c r="F91" s="37"/>
      <c r="I91" s="67" t="s">
        <v>200</v>
      </c>
      <c r="J91" s="64"/>
      <c r="K91" s="78">
        <v>42874</v>
      </c>
    </row>
    <row r="92" spans="2:13">
      <c r="B92" s="36" t="s">
        <v>64</v>
      </c>
      <c r="D92" s="77">
        <f>V65</f>
        <v>112480</v>
      </c>
      <c r="E92" s="77">
        <v>112480</v>
      </c>
      <c r="F92" s="37"/>
      <c r="I92" s="5" t="s">
        <v>198</v>
      </c>
      <c r="K92" s="97">
        <v>-39950</v>
      </c>
    </row>
    <row r="93" spans="2:13">
      <c r="B93" s="36" t="s">
        <v>65</v>
      </c>
      <c r="D93" s="77">
        <f>X65</f>
        <v>5000</v>
      </c>
      <c r="E93" s="77">
        <v>5000</v>
      </c>
      <c r="F93" s="37"/>
      <c r="I93" s="90" t="s">
        <v>199</v>
      </c>
      <c r="K93" s="92">
        <f>SUM(K91:K92)</f>
        <v>2924</v>
      </c>
    </row>
    <row r="94" spans="2:13">
      <c r="B94" s="38" t="s">
        <v>66</v>
      </c>
      <c r="D94" s="78">
        <f>SUM(D90:D93)</f>
        <v>1093165</v>
      </c>
      <c r="E94" s="78">
        <v>1106007</v>
      </c>
      <c r="F94" s="37"/>
      <c r="K94" s="77"/>
    </row>
    <row r="95" spans="2:13">
      <c r="B95" s="35"/>
      <c r="D95" s="77"/>
      <c r="E95" s="77"/>
      <c r="F95" s="37"/>
      <c r="K95" s="77"/>
    </row>
    <row r="96" spans="2:13">
      <c r="B96" s="35"/>
      <c r="D96" s="77"/>
      <c r="E96" s="77"/>
      <c r="F96" s="37"/>
      <c r="K96" s="77"/>
    </row>
    <row r="97" spans="2:13">
      <c r="B97" s="38" t="s">
        <v>67</v>
      </c>
      <c r="D97" s="78">
        <f>D86+D94</f>
        <v>1953160.73</v>
      </c>
      <c r="E97" s="78">
        <v>1937152</v>
      </c>
      <c r="F97" s="37"/>
      <c r="I97" s="34" t="s">
        <v>144</v>
      </c>
      <c r="K97" s="77"/>
      <c r="L97" s="75"/>
      <c r="M97" s="75"/>
    </row>
    <row r="98" spans="2:13">
      <c r="B98" s="35"/>
      <c r="D98" s="77"/>
      <c r="E98" s="77"/>
      <c r="I98" t="s">
        <v>201</v>
      </c>
      <c r="K98" s="77">
        <v>5000</v>
      </c>
      <c r="L98" s="75"/>
      <c r="M98" s="75"/>
    </row>
    <row r="99" spans="2:13">
      <c r="B99" s="35"/>
      <c r="D99" s="77"/>
      <c r="E99" s="77"/>
      <c r="I99" t="s">
        <v>244</v>
      </c>
      <c r="K99" s="77">
        <v>702</v>
      </c>
      <c r="L99" s="75"/>
      <c r="M99" s="75"/>
    </row>
    <row r="100" spans="2:13">
      <c r="B100" s="33" t="s">
        <v>68</v>
      </c>
      <c r="D100" s="77"/>
      <c r="E100" s="77"/>
      <c r="I100" s="34" t="s">
        <v>202</v>
      </c>
      <c r="J100" s="34"/>
      <c r="K100" s="92">
        <f>SUM(K98:K99)</f>
        <v>5702</v>
      </c>
    </row>
    <row r="101" spans="2:13">
      <c r="B101" s="35" t="s">
        <v>69</v>
      </c>
      <c r="D101" s="77">
        <f>AG59</f>
        <v>2044</v>
      </c>
      <c r="E101" s="77">
        <v>0</v>
      </c>
      <c r="K101" s="77"/>
      <c r="L101" s="75"/>
      <c r="M101" s="75"/>
    </row>
    <row r="102" spans="2:13">
      <c r="B102" s="33" t="s">
        <v>70</v>
      </c>
      <c r="D102" s="78">
        <f>SUM(D101)</f>
        <v>2044</v>
      </c>
      <c r="E102" s="78">
        <v>0</v>
      </c>
      <c r="K102" s="77"/>
    </row>
    <row r="103" spans="2:13">
      <c r="B103" s="35"/>
      <c r="D103" s="77"/>
      <c r="E103" s="77"/>
    </row>
    <row r="104" spans="2:13">
      <c r="B104" s="35"/>
      <c r="D104" s="77"/>
      <c r="E104" s="77"/>
    </row>
    <row r="105" spans="2:13">
      <c r="B105" s="33" t="s">
        <v>71</v>
      </c>
      <c r="D105" s="77"/>
      <c r="E105" s="77"/>
      <c r="K105" s="41"/>
    </row>
    <row r="106" spans="2:13">
      <c r="B106" s="35" t="s">
        <v>72</v>
      </c>
      <c r="D106" s="77">
        <f>AA65</f>
        <v>1118849</v>
      </c>
      <c r="E106" s="77">
        <v>1118849</v>
      </c>
      <c r="F106" s="77"/>
    </row>
    <row r="107" spans="2:13">
      <c r="B107" s="36" t="s">
        <v>73</v>
      </c>
      <c r="D107" s="77">
        <f>AC65</f>
        <v>676602.26</v>
      </c>
      <c r="E107" s="77">
        <v>673552.26</v>
      </c>
    </row>
    <row r="108" spans="2:13">
      <c r="B108" s="36" t="s">
        <v>74</v>
      </c>
      <c r="D108" s="77">
        <f>AE65</f>
        <v>142251.25</v>
      </c>
      <c r="E108" s="77">
        <v>177912.42</v>
      </c>
      <c r="F108" s="39"/>
    </row>
    <row r="109" spans="2:13">
      <c r="B109" s="38" t="s">
        <v>75</v>
      </c>
      <c r="D109" s="78">
        <f>SUM(D106:D108)</f>
        <v>1937702.51</v>
      </c>
      <c r="E109" s="78">
        <v>1970313.68</v>
      </c>
      <c r="F109" s="66"/>
    </row>
    <row r="110" spans="2:13">
      <c r="B110" s="35"/>
      <c r="D110" s="77"/>
      <c r="E110" s="77"/>
    </row>
    <row r="111" spans="2:13">
      <c r="B111" s="33" t="s">
        <v>76</v>
      </c>
      <c r="D111" s="77"/>
      <c r="E111" s="77"/>
      <c r="H111" s="41"/>
    </row>
    <row r="112" spans="2:13">
      <c r="B112" s="36" t="s">
        <v>236</v>
      </c>
      <c r="D112" s="77">
        <f>D145</f>
        <v>13414.220000000001</v>
      </c>
      <c r="E112" s="77">
        <v>-33161.679999999935</v>
      </c>
      <c r="F112" s="41"/>
    </row>
    <row r="113" spans="2:9">
      <c r="B113" s="35"/>
      <c r="D113" s="77"/>
      <c r="E113" s="77"/>
    </row>
    <row r="114" spans="2:9">
      <c r="B114" s="33" t="s">
        <v>77</v>
      </c>
      <c r="D114" s="78">
        <f>D102+D109+D112</f>
        <v>1953160.73</v>
      </c>
      <c r="E114" s="78">
        <v>1937152</v>
      </c>
      <c r="G114" s="77"/>
    </row>
    <row r="115" spans="2:9">
      <c r="B115" s="35"/>
      <c r="D115" s="77"/>
      <c r="E115" s="77"/>
    </row>
    <row r="116" spans="2:9">
      <c r="D116" s="77"/>
      <c r="E116" s="77"/>
    </row>
    <row r="117" spans="2:9">
      <c r="D117" s="77"/>
      <c r="E117" s="77"/>
    </row>
    <row r="118" spans="2:9">
      <c r="D118" s="77"/>
      <c r="E118" s="77"/>
      <c r="F118" s="35"/>
      <c r="G118" s="73" t="s">
        <v>233</v>
      </c>
      <c r="H118" s="72"/>
    </row>
    <row r="119" spans="2:9" ht="15.75">
      <c r="B119" s="74" t="s">
        <v>141</v>
      </c>
      <c r="D119" s="112" t="s">
        <v>241</v>
      </c>
      <c r="E119" s="112" t="s">
        <v>242</v>
      </c>
      <c r="F119" s="73" t="s">
        <v>152</v>
      </c>
      <c r="G119" s="73" t="s">
        <v>151</v>
      </c>
      <c r="H119" s="76" t="s">
        <v>232</v>
      </c>
    </row>
    <row r="120" spans="2:9">
      <c r="B120" s="34" t="s">
        <v>153</v>
      </c>
      <c r="D120" s="77"/>
      <c r="E120" s="77"/>
      <c r="F120" s="35"/>
      <c r="G120" s="35"/>
      <c r="H120" s="35"/>
    </row>
    <row r="121" spans="2:9">
      <c r="B121" t="s">
        <v>243</v>
      </c>
      <c r="D121" s="77">
        <f>M65</f>
        <v>30900</v>
      </c>
      <c r="E121" s="77">
        <v>32500</v>
      </c>
      <c r="F121" s="77">
        <v>33000</v>
      </c>
      <c r="G121" s="64">
        <f>D121-F121</f>
        <v>-2100</v>
      </c>
      <c r="H121" s="77"/>
      <c r="I121" s="35"/>
    </row>
    <row r="122" spans="2:9">
      <c r="B122" t="s">
        <v>155</v>
      </c>
      <c r="D122" s="77">
        <v>15250</v>
      </c>
      <c r="E122" s="77">
        <v>16477</v>
      </c>
      <c r="F122" s="77">
        <v>16000</v>
      </c>
      <c r="G122" s="64">
        <f>D122-F122</f>
        <v>-750</v>
      </c>
      <c r="H122" s="77"/>
      <c r="I122" s="35"/>
    </row>
    <row r="123" spans="2:9">
      <c r="B123" t="s">
        <v>156</v>
      </c>
      <c r="D123" s="77">
        <f>Q54+Q9</f>
        <v>84.72</v>
      </c>
      <c r="E123" s="77">
        <v>54.19</v>
      </c>
      <c r="F123" s="96">
        <v>50</v>
      </c>
      <c r="G123" s="64">
        <f>D123-F123</f>
        <v>34.72</v>
      </c>
      <c r="H123" s="96"/>
      <c r="I123" s="35"/>
    </row>
    <row r="124" spans="2:9">
      <c r="B124" t="s">
        <v>157</v>
      </c>
      <c r="D124" s="77">
        <v>0</v>
      </c>
      <c r="E124" s="77"/>
      <c r="F124" s="77"/>
      <c r="G124" s="64">
        <f>D124-F124</f>
        <v>0</v>
      </c>
      <c r="H124" s="77"/>
      <c r="I124" s="35"/>
    </row>
    <row r="125" spans="2:9">
      <c r="B125" s="34" t="s">
        <v>158</v>
      </c>
      <c r="D125" s="92">
        <f>SUM(D121:D124)</f>
        <v>46234.720000000001</v>
      </c>
      <c r="E125" s="92">
        <v>49031.19</v>
      </c>
      <c r="F125" s="92">
        <f>SUM(F121:F124)</f>
        <v>49050</v>
      </c>
      <c r="G125" s="92">
        <f>SUM(G121:G124)</f>
        <v>-2815.28</v>
      </c>
      <c r="H125" s="78">
        <f>SUM(H121:H124)</f>
        <v>0</v>
      </c>
      <c r="I125" s="37"/>
    </row>
    <row r="126" spans="2:9">
      <c r="D126" s="77"/>
      <c r="E126" s="77"/>
      <c r="F126" s="77"/>
      <c r="G126" s="77"/>
      <c r="H126" s="77"/>
    </row>
    <row r="127" spans="2:9">
      <c r="B127" s="34" t="s">
        <v>159</v>
      </c>
      <c r="D127" s="77"/>
      <c r="E127" s="77"/>
      <c r="F127" s="77"/>
      <c r="G127" s="77"/>
      <c r="H127" s="77"/>
    </row>
    <row r="128" spans="2:9">
      <c r="B128" t="s">
        <v>160</v>
      </c>
      <c r="D128" s="77">
        <f>J51</f>
        <v>5000</v>
      </c>
      <c r="E128" s="77">
        <v>5000</v>
      </c>
      <c r="F128" s="77">
        <v>5000</v>
      </c>
      <c r="G128" s="64">
        <f>D128-F128</f>
        <v>0</v>
      </c>
      <c r="H128" s="77"/>
    </row>
    <row r="129" spans="2:15">
      <c r="B129" t="s">
        <v>161</v>
      </c>
      <c r="D129" s="77">
        <f>J56</f>
        <v>12842</v>
      </c>
      <c r="E129" s="77">
        <v>12842</v>
      </c>
      <c r="F129" s="77">
        <v>12842</v>
      </c>
      <c r="G129" s="64">
        <f t="shared" ref="G129:G138" si="1">D129-F129</f>
        <v>0</v>
      </c>
      <c r="H129" s="77"/>
    </row>
    <row r="130" spans="2:15">
      <c r="B130" t="s">
        <v>162</v>
      </c>
      <c r="D130" s="77">
        <f>J57+J43-K58</f>
        <v>4003.5</v>
      </c>
      <c r="E130" s="77">
        <v>-242.68</v>
      </c>
      <c r="F130" s="77">
        <v>8000</v>
      </c>
      <c r="G130" s="64">
        <f t="shared" si="1"/>
        <v>-3996.5</v>
      </c>
      <c r="H130" s="77"/>
    </row>
    <row r="131" spans="2:15">
      <c r="B131" t="s">
        <v>163</v>
      </c>
      <c r="D131" s="77">
        <f>J47</f>
        <v>2110</v>
      </c>
      <c r="E131" s="77">
        <v>7009</v>
      </c>
      <c r="F131" s="77">
        <v>9500</v>
      </c>
      <c r="G131" s="64">
        <f t="shared" si="1"/>
        <v>-7390</v>
      </c>
      <c r="H131" s="77"/>
    </row>
    <row r="132" spans="2:15">
      <c r="B132" t="s">
        <v>164</v>
      </c>
      <c r="D132" s="77">
        <v>0</v>
      </c>
      <c r="E132" s="77">
        <v>977</v>
      </c>
      <c r="F132" s="77">
        <v>1000</v>
      </c>
      <c r="G132" s="64">
        <f t="shared" si="1"/>
        <v>-1000</v>
      </c>
      <c r="H132" s="77"/>
    </row>
    <row r="133" spans="2:15">
      <c r="B133" t="s">
        <v>165</v>
      </c>
      <c r="D133" s="95">
        <f>J59</f>
        <v>2044</v>
      </c>
      <c r="E133" s="77">
        <v>2240</v>
      </c>
      <c r="F133" s="77">
        <v>2300</v>
      </c>
      <c r="G133" s="64">
        <f t="shared" si="1"/>
        <v>-256</v>
      </c>
      <c r="H133" s="77"/>
    </row>
    <row r="134" spans="2:15">
      <c r="B134" t="s">
        <v>166</v>
      </c>
      <c r="D134" s="77">
        <f>J11+J12+J55</f>
        <v>385</v>
      </c>
      <c r="E134" s="77">
        <v>1354.75</v>
      </c>
      <c r="F134" s="77">
        <v>4000</v>
      </c>
      <c r="G134" s="64">
        <f t="shared" si="1"/>
        <v>-3615</v>
      </c>
      <c r="H134" s="77"/>
    </row>
    <row r="135" spans="2:15">
      <c r="B135" t="s">
        <v>167</v>
      </c>
      <c r="D135" s="77"/>
      <c r="E135" s="77">
        <v>36737.800000000003</v>
      </c>
      <c r="F135" s="77"/>
      <c r="G135" s="64"/>
      <c r="H135" s="77"/>
    </row>
    <row r="136" spans="2:15">
      <c r="B136" t="s">
        <v>125</v>
      </c>
      <c r="D136" s="77">
        <v>0</v>
      </c>
      <c r="E136" s="77">
        <v>10000</v>
      </c>
      <c r="F136" s="77">
        <v>0</v>
      </c>
      <c r="G136" s="64">
        <f t="shared" si="1"/>
        <v>0</v>
      </c>
      <c r="H136" s="77"/>
    </row>
    <row r="137" spans="2:15">
      <c r="B137" t="s">
        <v>169</v>
      </c>
      <c r="D137" s="77">
        <v>2500</v>
      </c>
      <c r="E137" s="64">
        <v>2500</v>
      </c>
      <c r="F137" s="77"/>
      <c r="G137" s="64"/>
      <c r="H137" s="77"/>
    </row>
    <row r="138" spans="2:15">
      <c r="B138" t="s">
        <v>170</v>
      </c>
      <c r="D138" s="77">
        <f>J48+J60</f>
        <v>886</v>
      </c>
      <c r="E138" s="96">
        <v>2969</v>
      </c>
      <c r="F138" s="77">
        <v>3000</v>
      </c>
      <c r="G138" s="64">
        <f t="shared" si="1"/>
        <v>-2114</v>
      </c>
      <c r="H138" s="77"/>
      <c r="O138">
        <f>663+217+50</f>
        <v>930</v>
      </c>
    </row>
    <row r="139" spans="2:15">
      <c r="B139" s="34" t="s">
        <v>171</v>
      </c>
      <c r="D139" s="92">
        <f>SUM(D128:D138)</f>
        <v>29770.5</v>
      </c>
      <c r="E139" s="92">
        <v>81387</v>
      </c>
      <c r="F139" s="92">
        <f>SUM(F128:F138)</f>
        <v>45642</v>
      </c>
      <c r="G139" s="92">
        <f>SUM(G128:G138)</f>
        <v>-18371.5</v>
      </c>
      <c r="H139" s="78">
        <f>SUM(H128:H138)</f>
        <v>0</v>
      </c>
    </row>
    <row r="140" spans="2:15">
      <c r="D140" s="77"/>
      <c r="E140" s="92"/>
      <c r="F140" s="77"/>
      <c r="G140" s="77"/>
      <c r="H140" s="77"/>
    </row>
    <row r="141" spans="2:15">
      <c r="B141" s="34" t="s">
        <v>141</v>
      </c>
      <c r="D141" s="92">
        <f>D125-D139</f>
        <v>16464.22</v>
      </c>
      <c r="E141" s="92">
        <v>-32356</v>
      </c>
      <c r="F141" s="92">
        <f>F125-F139</f>
        <v>3408</v>
      </c>
      <c r="G141" s="92">
        <f>G125-G139</f>
        <v>15556.22</v>
      </c>
      <c r="H141" s="78">
        <f>H125-H139</f>
        <v>0</v>
      </c>
    </row>
    <row r="142" spans="2:15">
      <c r="D142" s="77"/>
      <c r="E142" s="77"/>
      <c r="F142" s="77"/>
      <c r="G142" s="77"/>
      <c r="H142" s="77"/>
    </row>
    <row r="143" spans="2:15">
      <c r="B143" s="34" t="s">
        <v>172</v>
      </c>
      <c r="D143" s="77"/>
      <c r="E143" s="77"/>
      <c r="F143" s="77"/>
      <c r="G143" s="77"/>
      <c r="H143" s="77"/>
    </row>
    <row r="144" spans="2:15">
      <c r="B144" t="s">
        <v>173</v>
      </c>
      <c r="D144" s="77">
        <f>J61</f>
        <v>3050</v>
      </c>
      <c r="E144" s="77">
        <v>3306</v>
      </c>
      <c r="F144" s="77">
        <v>3220</v>
      </c>
      <c r="G144" s="64">
        <f>F144-E144</f>
        <v>-86</v>
      </c>
      <c r="H144" s="77"/>
    </row>
    <row r="145" spans="2:12">
      <c r="B145" t="s">
        <v>174</v>
      </c>
      <c r="D145" s="77">
        <f>D141-D144</f>
        <v>13414.220000000001</v>
      </c>
      <c r="E145" s="64">
        <v>35661.68</v>
      </c>
      <c r="F145" s="77"/>
      <c r="G145" s="64">
        <f>F145-E145</f>
        <v>-35661.68</v>
      </c>
      <c r="H145" s="77"/>
    </row>
    <row r="146" spans="2:12">
      <c r="B146" s="34" t="s">
        <v>175</v>
      </c>
      <c r="D146" s="92">
        <f>SUM(D144:D145)</f>
        <v>16464.22</v>
      </c>
      <c r="E146" s="92">
        <v>32355.68</v>
      </c>
      <c r="F146" s="92">
        <v>-2592</v>
      </c>
      <c r="G146" s="92">
        <f>F146-E146</f>
        <v>-34947.68</v>
      </c>
      <c r="H146" s="78"/>
      <c r="K146" s="77"/>
    </row>
    <row r="147" spans="2:12">
      <c r="I147" s="34" t="s">
        <v>166</v>
      </c>
    </row>
    <row r="148" spans="2:12">
      <c r="D148" s="34" t="s">
        <v>208</v>
      </c>
      <c r="I148" t="s">
        <v>225</v>
      </c>
      <c r="L148">
        <v>142</v>
      </c>
    </row>
    <row r="149" spans="2:12">
      <c r="D149" s="34" t="s">
        <v>177</v>
      </c>
      <c r="I149" t="s">
        <v>226</v>
      </c>
      <c r="L149">
        <v>132</v>
      </c>
    </row>
    <row r="150" spans="2:12">
      <c r="D150" s="79" t="s">
        <v>179</v>
      </c>
      <c r="E150" s="34"/>
      <c r="F150" s="80"/>
      <c r="G150" s="77">
        <v>4429.68</v>
      </c>
      <c r="I150" s="61" t="s">
        <v>87</v>
      </c>
      <c r="L150">
        <v>111</v>
      </c>
    </row>
    <row r="151" spans="2:12">
      <c r="D151" s="79" t="s">
        <v>204</v>
      </c>
      <c r="G151" s="77">
        <v>5000</v>
      </c>
      <c r="H151" s="81"/>
      <c r="I151" s="91" t="s">
        <v>166</v>
      </c>
      <c r="L151" s="68">
        <f>SUM(L148:L150)</f>
        <v>385</v>
      </c>
    </row>
    <row r="152" spans="2:12">
      <c r="D152" s="79" t="s">
        <v>203</v>
      </c>
      <c r="E152" s="34"/>
      <c r="F152" s="80"/>
      <c r="G152" s="77">
        <v>-2287</v>
      </c>
      <c r="I152" s="5"/>
      <c r="L152" s="45"/>
    </row>
    <row r="153" spans="2:12">
      <c r="D153" s="79" t="s">
        <v>207</v>
      </c>
      <c r="E153" s="34"/>
      <c r="F153" s="80"/>
      <c r="G153" s="77">
        <v>-674</v>
      </c>
      <c r="I153" s="81"/>
    </row>
    <row r="154" spans="2:12">
      <c r="D154" s="79" t="s">
        <v>206</v>
      </c>
      <c r="E154" s="34"/>
      <c r="F154" s="80"/>
      <c r="G154" s="77">
        <v>-2200</v>
      </c>
      <c r="I154" s="81"/>
      <c r="L154" s="33"/>
    </row>
    <row r="155" spans="2:12">
      <c r="D155" s="79" t="s">
        <v>221</v>
      </c>
      <c r="E155" s="34"/>
      <c r="F155" s="80"/>
      <c r="G155" s="77">
        <v>1100</v>
      </c>
      <c r="I155" s="81"/>
      <c r="L155" s="33"/>
    </row>
    <row r="156" spans="2:12">
      <c r="D156" s="79" t="s">
        <v>205</v>
      </c>
      <c r="E156" s="34"/>
      <c r="F156" s="80"/>
      <c r="G156" s="77">
        <v>-148</v>
      </c>
      <c r="I156" s="81"/>
      <c r="L156" s="33"/>
    </row>
    <row r="157" spans="2:12">
      <c r="D157" s="79" t="s">
        <v>216</v>
      </c>
      <c r="E157" s="34"/>
      <c r="F157" s="80"/>
      <c r="G157" s="77">
        <v>725.5</v>
      </c>
    </row>
    <row r="158" spans="2:12" ht="13.5" thickBot="1">
      <c r="D158" s="34" t="s">
        <v>224</v>
      </c>
      <c r="E158" s="82"/>
      <c r="F158" s="82"/>
      <c r="G158" s="98">
        <f>SUM(G150:G157)</f>
        <v>5946.18</v>
      </c>
      <c r="H158" s="81"/>
      <c r="I158" s="81"/>
      <c r="L158" s="33"/>
    </row>
    <row r="159" spans="2:12" ht="13.5" thickTop="1">
      <c r="D159" s="34"/>
      <c r="E159" s="82"/>
      <c r="F159" s="82"/>
      <c r="G159" s="65"/>
      <c r="I159" s="81"/>
      <c r="L159" s="33"/>
    </row>
    <row r="160" spans="2:12">
      <c r="D160" s="34" t="s">
        <v>186</v>
      </c>
      <c r="E160" s="82"/>
      <c r="F160" s="82"/>
      <c r="G160" s="65"/>
      <c r="I160" s="81"/>
      <c r="L160" s="33"/>
    </row>
    <row r="161" spans="4:12">
      <c r="D161" s="79" t="s">
        <v>218</v>
      </c>
      <c r="E161" s="82"/>
      <c r="F161" s="82"/>
      <c r="G161" s="64">
        <v>4429.68</v>
      </c>
      <c r="H161" s="84"/>
      <c r="I161" s="81"/>
      <c r="L161" s="33"/>
    </row>
    <row r="162" spans="4:12">
      <c r="D162" s="79" t="s">
        <v>217</v>
      </c>
      <c r="E162" s="82"/>
      <c r="F162" s="82"/>
      <c r="G162" s="64">
        <v>-5946.18</v>
      </c>
      <c r="H162" s="84"/>
      <c r="I162" s="81"/>
      <c r="L162" s="33"/>
    </row>
    <row r="163" spans="4:12">
      <c r="D163" s="79" t="s">
        <v>219</v>
      </c>
      <c r="E163" s="82"/>
      <c r="F163" s="82"/>
      <c r="G163" s="64">
        <v>5000</v>
      </c>
      <c r="H163" s="84"/>
      <c r="I163" s="81"/>
    </row>
    <row r="164" spans="4:12">
      <c r="D164" s="79" t="s">
        <v>223</v>
      </c>
      <c r="G164" s="77">
        <v>520</v>
      </c>
      <c r="H164" s="81"/>
      <c r="I164" s="81"/>
    </row>
    <row r="165" spans="4:12">
      <c r="D165" s="34" t="s">
        <v>220</v>
      </c>
      <c r="E165" s="34"/>
      <c r="F165" s="34"/>
      <c r="G165" s="92">
        <f>SUM(G161:G164)</f>
        <v>4003.5</v>
      </c>
      <c r="H165" s="83"/>
      <c r="I165" s="81"/>
      <c r="K165" s="81"/>
    </row>
    <row r="166" spans="4:12">
      <c r="D166" s="34"/>
      <c r="I166" s="81"/>
    </row>
    <row r="167" spans="4:12">
      <c r="D167" s="5"/>
      <c r="G167" s="81"/>
      <c r="I167" s="81"/>
    </row>
    <row r="168" spans="4:12">
      <c r="G168" s="81"/>
      <c r="I168" s="81"/>
    </row>
    <row r="171" spans="4:12">
      <c r="D171" s="34"/>
      <c r="E171" s="34"/>
      <c r="F171" s="33"/>
    </row>
  </sheetData>
  <phoneticPr fontId="2" type="noConversion"/>
  <pageMargins left="0.78740157480314965" right="0.78740157480314965" top="0.98425196850393704" bottom="0.98425196850393704" header="0.51181102362204722" footer="0.51181102362204722"/>
  <headerFooter alignWithMargins="0"/>
  <legacy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A4:AJ111"/>
  <sheetViews>
    <sheetView topLeftCell="A37" workbookViewId="0">
      <selection activeCell="AG7" sqref="AG7"/>
    </sheetView>
  </sheetViews>
  <sheetFormatPr baseColWidth="10" defaultColWidth="11.42578125" defaultRowHeight="12.75"/>
  <cols>
    <col min="1" max="1" width="10.140625" bestFit="1" customWidth="1"/>
    <col min="2" max="2" width="25.7109375" customWidth="1"/>
    <col min="3" max="3" width="6.85546875" customWidth="1"/>
    <col min="4" max="4" width="12.85546875" bestFit="1" customWidth="1"/>
  </cols>
  <sheetData>
    <row r="4" spans="1:36">
      <c r="A4" s="1" t="s">
        <v>20</v>
      </c>
      <c r="B4" s="2" t="s">
        <v>0</v>
      </c>
      <c r="C4" s="1" t="s">
        <v>1</v>
      </c>
      <c r="D4" s="1" t="s">
        <v>2</v>
      </c>
      <c r="E4" s="2"/>
      <c r="F4" s="1" t="s">
        <v>3</v>
      </c>
      <c r="G4" s="1"/>
      <c r="H4" s="3" t="s">
        <v>4</v>
      </c>
      <c r="I4" s="3"/>
      <c r="J4" s="4" t="s">
        <v>5</v>
      </c>
      <c r="K4" s="5"/>
      <c r="L4" s="1" t="s">
        <v>6</v>
      </c>
      <c r="M4" s="1"/>
      <c r="N4" s="6" t="s">
        <v>7</v>
      </c>
      <c r="O4" s="3"/>
      <c r="P4" s="2" t="s">
        <v>8</v>
      </c>
      <c r="Q4" s="1"/>
      <c r="R4" s="5" t="s">
        <v>9</v>
      </c>
      <c r="S4" s="1"/>
      <c r="T4" s="2" t="s">
        <v>10</v>
      </c>
      <c r="U4" s="2"/>
      <c r="V4" s="1" t="s">
        <v>11</v>
      </c>
      <c r="W4" s="2"/>
      <c r="X4" s="2" t="s">
        <v>12</v>
      </c>
      <c r="Y4" s="2"/>
      <c r="Z4" s="1" t="s">
        <v>13</v>
      </c>
      <c r="AA4" s="2"/>
      <c r="AB4" s="1" t="s">
        <v>14</v>
      </c>
      <c r="AC4" s="2"/>
      <c r="AD4" s="1" t="s">
        <v>15</v>
      </c>
      <c r="AE4" s="2"/>
      <c r="AF4" s="7" t="s">
        <v>30</v>
      </c>
      <c r="AG4" s="3"/>
      <c r="AH4" s="8" t="s">
        <v>32</v>
      </c>
      <c r="AI4" s="9"/>
    </row>
    <row r="5" spans="1:36" ht="13.5" thickBot="1">
      <c r="A5" s="10"/>
      <c r="B5" s="11"/>
      <c r="C5" s="10" t="s">
        <v>16</v>
      </c>
      <c r="D5" s="10"/>
      <c r="E5" s="11"/>
      <c r="F5" s="10" t="s">
        <v>17</v>
      </c>
      <c r="G5" s="10"/>
      <c r="H5" s="12" t="s">
        <v>18</v>
      </c>
      <c r="I5" s="10"/>
      <c r="J5" s="10" t="s">
        <v>19</v>
      </c>
      <c r="K5" s="12"/>
      <c r="L5" s="10" t="s">
        <v>20</v>
      </c>
      <c r="M5" s="10"/>
      <c r="N5" s="12" t="s">
        <v>21</v>
      </c>
      <c r="O5" s="10"/>
      <c r="P5" s="11"/>
      <c r="Q5" s="10"/>
      <c r="R5" s="13" t="s">
        <v>22</v>
      </c>
      <c r="S5" s="10"/>
      <c r="T5" s="11" t="s">
        <v>23</v>
      </c>
      <c r="U5" s="11"/>
      <c r="V5" s="10" t="s">
        <v>24</v>
      </c>
      <c r="W5" s="11"/>
      <c r="X5" s="11" t="s">
        <v>25</v>
      </c>
      <c r="Y5" s="11"/>
      <c r="Z5" s="10" t="s">
        <v>26</v>
      </c>
      <c r="AA5" s="11"/>
      <c r="AB5" s="10" t="s">
        <v>27</v>
      </c>
      <c r="AC5" s="11"/>
      <c r="AD5" s="10"/>
      <c r="AE5" s="11"/>
      <c r="AF5" s="10"/>
      <c r="AG5" s="14"/>
      <c r="AH5" s="12"/>
      <c r="AI5" s="15"/>
    </row>
    <row r="6" spans="1:36" ht="13.5" thickBot="1">
      <c r="A6" s="16"/>
      <c r="B6" s="17"/>
      <c r="C6" s="10"/>
      <c r="D6" s="16" t="s">
        <v>28</v>
      </c>
      <c r="E6" s="17" t="s">
        <v>29</v>
      </c>
      <c r="F6" s="16" t="s">
        <v>28</v>
      </c>
      <c r="G6" s="16" t="s">
        <v>29</v>
      </c>
      <c r="H6" s="18" t="s">
        <v>28</v>
      </c>
      <c r="I6" s="16" t="s">
        <v>29</v>
      </c>
      <c r="J6" s="16" t="s">
        <v>28</v>
      </c>
      <c r="K6" s="18" t="s">
        <v>29</v>
      </c>
      <c r="L6" s="16" t="s">
        <v>28</v>
      </c>
      <c r="M6" s="16" t="s">
        <v>29</v>
      </c>
      <c r="N6" s="18" t="s">
        <v>28</v>
      </c>
      <c r="O6" s="16" t="s">
        <v>29</v>
      </c>
      <c r="P6" s="17" t="s">
        <v>28</v>
      </c>
      <c r="Q6" s="16" t="s">
        <v>29</v>
      </c>
      <c r="R6" s="17" t="s">
        <v>28</v>
      </c>
      <c r="S6" s="16" t="s">
        <v>29</v>
      </c>
      <c r="T6" s="17" t="s">
        <v>28</v>
      </c>
      <c r="U6" s="17" t="s">
        <v>29</v>
      </c>
      <c r="V6" s="16" t="s">
        <v>28</v>
      </c>
      <c r="W6" s="17" t="s">
        <v>29</v>
      </c>
      <c r="X6" s="17" t="s">
        <v>28</v>
      </c>
      <c r="Y6" s="17" t="s">
        <v>29</v>
      </c>
      <c r="Z6" s="16" t="s">
        <v>28</v>
      </c>
      <c r="AA6" s="17" t="s">
        <v>29</v>
      </c>
      <c r="AB6" s="16" t="s">
        <v>28</v>
      </c>
      <c r="AC6" s="17" t="s">
        <v>29</v>
      </c>
      <c r="AD6" s="16" t="s">
        <v>28</v>
      </c>
      <c r="AE6" s="17" t="s">
        <v>29</v>
      </c>
      <c r="AF6" s="16" t="s">
        <v>28</v>
      </c>
      <c r="AG6" s="16" t="s">
        <v>29</v>
      </c>
      <c r="AH6" s="8" t="s">
        <v>28</v>
      </c>
      <c r="AI6" s="19" t="s">
        <v>29</v>
      </c>
    </row>
    <row r="7" spans="1:36">
      <c r="B7" s="20" t="s">
        <v>31</v>
      </c>
      <c r="C7" s="21"/>
      <c r="D7" s="22">
        <v>374.05</v>
      </c>
      <c r="E7" s="21"/>
      <c r="F7" s="22">
        <v>3338.88</v>
      </c>
      <c r="G7" s="21"/>
      <c r="H7" s="22">
        <v>12276.96</v>
      </c>
      <c r="I7" s="21"/>
      <c r="J7" s="21">
        <v>89692.37</v>
      </c>
      <c r="K7" s="21"/>
      <c r="L7" s="21"/>
      <c r="M7" s="23">
        <v>32500</v>
      </c>
      <c r="N7" s="22">
        <v>745134.94</v>
      </c>
      <c r="O7" s="21">
        <v>0</v>
      </c>
      <c r="P7" s="21"/>
      <c r="Q7" s="23">
        <v>16531.2</v>
      </c>
      <c r="R7" s="22">
        <v>38527</v>
      </c>
      <c r="S7" s="21"/>
      <c r="T7" s="22">
        <v>950000</v>
      </c>
      <c r="U7" s="21"/>
      <c r="V7" s="22">
        <v>112480</v>
      </c>
      <c r="W7" s="21"/>
      <c r="X7" s="22">
        <v>5000</v>
      </c>
      <c r="Y7" s="21"/>
      <c r="Z7" s="21"/>
      <c r="AA7" s="24">
        <v>1118849</v>
      </c>
      <c r="AB7" s="21"/>
      <c r="AC7" s="24">
        <v>673552.26</v>
      </c>
      <c r="AD7" s="21"/>
      <c r="AE7" s="24">
        <v>177912.42</v>
      </c>
      <c r="AF7" s="21"/>
      <c r="AG7" s="24">
        <v>-14372</v>
      </c>
      <c r="AH7" s="22">
        <v>48148.68</v>
      </c>
      <c r="AI7" s="21"/>
      <c r="AJ7" s="25">
        <v>40661.17</v>
      </c>
    </row>
    <row r="8" spans="1:36">
      <c r="A8" s="26"/>
      <c r="B8" s="5" t="s">
        <v>49</v>
      </c>
      <c r="C8" s="5">
        <v>1</v>
      </c>
      <c r="D8" s="5"/>
      <c r="E8" s="5"/>
      <c r="F8" s="5">
        <v>39950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36">
      <c r="A9" s="26">
        <v>38413</v>
      </c>
      <c r="B9" s="5" t="s">
        <v>46</v>
      </c>
      <c r="C9" s="5">
        <v>2</v>
      </c>
      <c r="D9" s="5"/>
      <c r="E9" s="5"/>
      <c r="F9" s="5"/>
      <c r="G9" s="5"/>
      <c r="H9" s="5">
        <v>6.21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36">
      <c r="A10" s="26"/>
      <c r="B10" s="5" t="s">
        <v>33</v>
      </c>
      <c r="C10" s="5">
        <v>3</v>
      </c>
      <c r="D10" s="5"/>
      <c r="E10" s="5"/>
      <c r="F10" s="5">
        <v>12283</v>
      </c>
      <c r="G10" s="5"/>
      <c r="H10" s="5"/>
      <c r="I10" s="5">
        <v>12283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36">
      <c r="A11" s="26">
        <v>38414</v>
      </c>
      <c r="B11" s="5" t="s">
        <v>43</v>
      </c>
      <c r="C11" s="5">
        <v>4</v>
      </c>
      <c r="D11" s="5"/>
      <c r="E11" s="5">
        <v>142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36">
      <c r="A12" s="26">
        <v>38426</v>
      </c>
      <c r="B12" s="5" t="s">
        <v>44</v>
      </c>
      <c r="C12" s="5">
        <v>5</v>
      </c>
      <c r="D12" s="5"/>
      <c r="E12" s="5">
        <v>132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36">
      <c r="A13" s="26">
        <v>38788</v>
      </c>
      <c r="B13" s="5" t="s">
        <v>34</v>
      </c>
      <c r="C13" s="5">
        <v>6</v>
      </c>
      <c r="D13" s="5"/>
      <c r="E13" s="5"/>
      <c r="F13" s="5">
        <v>300</v>
      </c>
      <c r="G13" s="5"/>
      <c r="H13" s="5"/>
      <c r="I13" s="5"/>
      <c r="J13" s="5"/>
      <c r="K13" s="5"/>
      <c r="L13" s="5"/>
      <c r="M13" s="5">
        <v>300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36">
      <c r="A14" s="27">
        <v>38951</v>
      </c>
      <c r="B14" s="5" t="s">
        <v>34</v>
      </c>
      <c r="C14" s="5">
        <v>7</v>
      </c>
      <c r="D14" s="5"/>
      <c r="E14" s="5"/>
      <c r="F14" s="5">
        <v>300</v>
      </c>
      <c r="G14" s="5"/>
      <c r="H14" s="5"/>
      <c r="I14" s="5"/>
      <c r="J14" s="5"/>
      <c r="K14" s="5"/>
      <c r="L14" s="5"/>
      <c r="M14" s="5">
        <v>300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36">
      <c r="A15" s="27">
        <v>38952</v>
      </c>
      <c r="B15" s="5" t="s">
        <v>34</v>
      </c>
      <c r="C15" s="5">
        <v>8</v>
      </c>
      <c r="D15" s="5"/>
      <c r="E15" s="5"/>
      <c r="F15" s="5">
        <v>1200</v>
      </c>
      <c r="G15" s="5"/>
      <c r="H15" s="5"/>
      <c r="I15" s="5"/>
      <c r="J15" s="5"/>
      <c r="K15" s="5"/>
      <c r="L15" s="5"/>
      <c r="M15" s="5">
        <v>1200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36">
      <c r="A16" s="26">
        <v>38953</v>
      </c>
      <c r="B16" s="5" t="s">
        <v>34</v>
      </c>
      <c r="C16" s="5">
        <v>9</v>
      </c>
      <c r="D16" s="5"/>
      <c r="E16" s="5"/>
      <c r="F16" s="5">
        <v>1200</v>
      </c>
      <c r="G16" s="5"/>
      <c r="H16" s="5"/>
      <c r="I16" s="5"/>
      <c r="J16" s="5"/>
      <c r="K16" s="5"/>
      <c r="L16" s="5"/>
      <c r="M16" s="5">
        <v>1200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>
      <c r="A17" s="26">
        <v>38954</v>
      </c>
      <c r="B17" s="5" t="s">
        <v>34</v>
      </c>
      <c r="C17" s="5">
        <v>10</v>
      </c>
      <c r="D17" s="5"/>
      <c r="E17" s="5"/>
      <c r="F17" s="5">
        <v>1500</v>
      </c>
      <c r="G17" s="5"/>
      <c r="H17" s="5"/>
      <c r="I17" s="5"/>
      <c r="J17" s="5"/>
      <c r="K17" s="5"/>
      <c r="L17" s="5"/>
      <c r="M17" s="5">
        <v>1500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>
      <c r="A18" s="27">
        <v>38955</v>
      </c>
      <c r="B18" s="5" t="s">
        <v>34</v>
      </c>
      <c r="C18" s="5">
        <v>11</v>
      </c>
      <c r="D18" s="5"/>
      <c r="E18" s="5"/>
      <c r="F18" s="5">
        <v>1500</v>
      </c>
      <c r="G18" s="5"/>
      <c r="H18" s="5"/>
      <c r="I18" s="5"/>
      <c r="J18" s="5"/>
      <c r="K18" s="5"/>
      <c r="L18" s="5"/>
      <c r="M18" s="5">
        <v>1500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>
      <c r="A19" s="27">
        <v>38958</v>
      </c>
      <c r="B19" s="5" t="s">
        <v>34</v>
      </c>
      <c r="C19" s="5">
        <v>12</v>
      </c>
      <c r="D19" s="5"/>
      <c r="E19" s="5"/>
      <c r="F19" s="5">
        <v>1800</v>
      </c>
      <c r="G19" s="5"/>
      <c r="H19" s="5"/>
      <c r="I19" s="5"/>
      <c r="J19" s="5"/>
      <c r="K19" s="5"/>
      <c r="L19" s="5"/>
      <c r="M19" s="5">
        <v>1800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>
      <c r="A20" s="27">
        <v>38959</v>
      </c>
      <c r="B20" s="5" t="s">
        <v>34</v>
      </c>
      <c r="C20" s="5">
        <v>13</v>
      </c>
      <c r="D20" s="5"/>
      <c r="E20" s="5"/>
      <c r="F20" s="5">
        <v>1500</v>
      </c>
      <c r="G20" s="5"/>
      <c r="H20" s="5"/>
      <c r="I20" s="5"/>
      <c r="J20" s="5"/>
      <c r="K20" s="5"/>
      <c r="L20" s="5"/>
      <c r="M20" s="5">
        <v>1500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>
      <c r="A21" s="27">
        <v>38960</v>
      </c>
      <c r="B21" s="5" t="s">
        <v>34</v>
      </c>
      <c r="C21" s="5">
        <v>14</v>
      </c>
      <c r="D21" s="5"/>
      <c r="E21" s="5"/>
      <c r="F21" s="5">
        <v>1200</v>
      </c>
      <c r="G21" s="5"/>
      <c r="H21" s="5"/>
      <c r="I21" s="5"/>
      <c r="J21" s="5"/>
      <c r="K21" s="5"/>
      <c r="L21" s="5"/>
      <c r="M21" s="5">
        <v>1200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>
      <c r="A22" s="27">
        <v>38961</v>
      </c>
      <c r="B22" s="5" t="s">
        <v>34</v>
      </c>
      <c r="C22" s="5">
        <v>15</v>
      </c>
      <c r="D22" s="5"/>
      <c r="E22" s="5"/>
      <c r="F22" s="5">
        <v>2700</v>
      </c>
      <c r="G22" s="5"/>
      <c r="H22" s="5"/>
      <c r="I22" s="5"/>
      <c r="J22" s="5"/>
      <c r="K22" s="5"/>
      <c r="L22" s="5"/>
      <c r="M22" s="5">
        <v>2700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>
      <c r="A23" s="27">
        <v>38962</v>
      </c>
      <c r="B23" s="5" t="s">
        <v>34</v>
      </c>
      <c r="C23" s="5">
        <v>16</v>
      </c>
      <c r="D23" s="5"/>
      <c r="E23" s="5"/>
      <c r="F23" s="5">
        <v>1200</v>
      </c>
      <c r="G23" s="5"/>
      <c r="H23" s="5"/>
      <c r="I23" s="5"/>
      <c r="J23" s="5"/>
      <c r="K23" s="5"/>
      <c r="L23" s="5"/>
      <c r="M23" s="5">
        <v>1200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>
      <c r="A24" s="27">
        <v>38965</v>
      </c>
      <c r="B24" s="5" t="s">
        <v>34</v>
      </c>
      <c r="C24" s="5">
        <v>17</v>
      </c>
      <c r="D24" s="5"/>
      <c r="E24" s="5"/>
      <c r="F24" s="5">
        <v>1200</v>
      </c>
      <c r="G24" s="5"/>
      <c r="H24" s="5"/>
      <c r="I24" s="5"/>
      <c r="J24" s="5"/>
      <c r="K24" s="5"/>
      <c r="L24" s="5"/>
      <c r="M24" s="5">
        <v>1200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>
      <c r="A25" s="27">
        <v>38966</v>
      </c>
      <c r="B25" s="5" t="s">
        <v>34</v>
      </c>
      <c r="C25" s="5">
        <v>18</v>
      </c>
      <c r="D25" s="5"/>
      <c r="E25" s="5"/>
      <c r="F25" s="5">
        <v>900</v>
      </c>
      <c r="G25" s="5"/>
      <c r="H25" s="5"/>
      <c r="I25" s="5"/>
      <c r="J25" s="5"/>
      <c r="K25" s="5"/>
      <c r="L25" s="5"/>
      <c r="M25" s="5">
        <v>900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>
      <c r="A26" s="27">
        <v>38967</v>
      </c>
      <c r="B26" s="5" t="s">
        <v>34</v>
      </c>
      <c r="C26" s="5">
        <v>19</v>
      </c>
      <c r="D26" s="5"/>
      <c r="E26" s="5"/>
      <c r="F26" s="5">
        <v>900</v>
      </c>
      <c r="G26" s="5"/>
      <c r="H26" s="5"/>
      <c r="I26" s="5"/>
      <c r="J26" s="5"/>
      <c r="K26" s="5"/>
      <c r="L26" s="5"/>
      <c r="M26" s="5">
        <v>900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>
      <c r="A27" s="27">
        <v>38968</v>
      </c>
      <c r="B27" s="5" t="s">
        <v>34</v>
      </c>
      <c r="C27" s="5">
        <v>20</v>
      </c>
      <c r="D27" s="5"/>
      <c r="E27" s="5"/>
      <c r="F27" s="5">
        <v>600</v>
      </c>
      <c r="G27" s="5"/>
      <c r="H27" s="5"/>
      <c r="I27" s="5"/>
      <c r="J27" s="5"/>
      <c r="K27" s="5"/>
      <c r="L27" s="5"/>
      <c r="M27" s="5">
        <v>600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>
      <c r="A28" s="27">
        <v>38969</v>
      </c>
      <c r="B28" s="5" t="s">
        <v>34</v>
      </c>
      <c r="C28" s="5">
        <v>21</v>
      </c>
      <c r="D28" s="5"/>
      <c r="E28" s="5"/>
      <c r="F28" s="5">
        <v>300</v>
      </c>
      <c r="G28" s="5"/>
      <c r="H28" s="5"/>
      <c r="I28" s="5"/>
      <c r="J28" s="5"/>
      <c r="K28" s="5"/>
      <c r="L28" s="5"/>
      <c r="M28" s="5">
        <v>300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>
      <c r="A29" s="27">
        <v>38972</v>
      </c>
      <c r="B29" s="5" t="s">
        <v>34</v>
      </c>
      <c r="C29" s="5">
        <v>22</v>
      </c>
      <c r="D29" s="5"/>
      <c r="E29" s="5"/>
      <c r="F29" s="5">
        <v>2400</v>
      </c>
      <c r="G29" s="5"/>
      <c r="H29" s="5"/>
      <c r="I29" s="5"/>
      <c r="J29" s="5"/>
      <c r="K29" s="5"/>
      <c r="L29" s="5"/>
      <c r="M29" s="5">
        <v>2400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>
      <c r="A30" s="27">
        <v>38973</v>
      </c>
      <c r="B30" s="5" t="s">
        <v>34</v>
      </c>
      <c r="C30" s="5">
        <v>23</v>
      </c>
      <c r="D30" s="5"/>
      <c r="E30" s="5"/>
      <c r="F30" s="5">
        <v>600</v>
      </c>
      <c r="G30" s="5"/>
      <c r="H30" s="5"/>
      <c r="I30" s="5"/>
      <c r="J30" s="5"/>
      <c r="K30" s="5"/>
      <c r="L30" s="5"/>
      <c r="M30" s="5">
        <v>600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>
      <c r="A31" s="27">
        <v>38974</v>
      </c>
      <c r="B31" s="5" t="s">
        <v>34</v>
      </c>
      <c r="C31" s="5">
        <v>24</v>
      </c>
      <c r="D31" s="5"/>
      <c r="E31" s="5"/>
      <c r="F31" s="5">
        <v>300</v>
      </c>
      <c r="G31" s="5"/>
      <c r="H31" s="5"/>
      <c r="I31" s="5"/>
      <c r="J31" s="5"/>
      <c r="K31" s="5"/>
      <c r="L31" s="5"/>
      <c r="M31" s="5">
        <v>300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>
      <c r="A32" s="27">
        <v>38975</v>
      </c>
      <c r="B32" s="5" t="s">
        <v>34</v>
      </c>
      <c r="C32" s="5">
        <v>25</v>
      </c>
      <c r="D32" s="5"/>
      <c r="E32" s="5"/>
      <c r="F32" s="5">
        <v>1800</v>
      </c>
      <c r="G32" s="5"/>
      <c r="H32" s="5"/>
      <c r="I32" s="5"/>
      <c r="J32" s="5"/>
      <c r="K32" s="5"/>
      <c r="L32" s="5"/>
      <c r="M32" s="5">
        <v>1800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 s="27">
        <v>38976</v>
      </c>
      <c r="B33" s="5" t="s">
        <v>34</v>
      </c>
      <c r="C33" s="5">
        <v>26</v>
      </c>
      <c r="D33" s="5"/>
      <c r="E33" s="5"/>
      <c r="F33" s="5">
        <v>300</v>
      </c>
      <c r="G33" s="5"/>
      <c r="H33" s="5"/>
      <c r="I33" s="5"/>
      <c r="J33" s="5"/>
      <c r="K33" s="5"/>
      <c r="L33" s="5"/>
      <c r="M33" s="5">
        <v>300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>
      <c r="A34" s="27">
        <v>38979</v>
      </c>
      <c r="B34" s="5" t="s">
        <v>34</v>
      </c>
      <c r="C34" s="5">
        <v>27</v>
      </c>
      <c r="D34" s="5"/>
      <c r="E34" s="5"/>
      <c r="F34" s="5">
        <v>1200</v>
      </c>
      <c r="G34" s="5"/>
      <c r="H34" s="5"/>
      <c r="I34" s="5"/>
      <c r="J34" s="5"/>
      <c r="K34" s="5"/>
      <c r="L34" s="5"/>
      <c r="M34" s="5">
        <v>1200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>
      <c r="A35" s="27">
        <v>38980</v>
      </c>
      <c r="B35" s="5" t="s">
        <v>34</v>
      </c>
      <c r="C35" s="5">
        <v>28</v>
      </c>
      <c r="D35" s="5"/>
      <c r="E35" s="5"/>
      <c r="F35" s="5">
        <v>300</v>
      </c>
      <c r="G35" s="5"/>
      <c r="H35" s="5"/>
      <c r="I35" s="5"/>
      <c r="J35" s="5"/>
      <c r="K35" s="5"/>
      <c r="L35" s="5"/>
      <c r="M35" s="5">
        <v>300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>
      <c r="A36" s="27">
        <v>38981</v>
      </c>
      <c r="B36" s="5" t="s">
        <v>34</v>
      </c>
      <c r="C36" s="5">
        <v>29</v>
      </c>
      <c r="D36" s="5"/>
      <c r="E36" s="5"/>
      <c r="F36" s="5">
        <v>900</v>
      </c>
      <c r="G36" s="5"/>
      <c r="H36" s="5"/>
      <c r="I36" s="5"/>
      <c r="J36" s="5"/>
      <c r="K36" s="5"/>
      <c r="L36" s="5"/>
      <c r="M36" s="5">
        <v>900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>
      <c r="A37" s="27">
        <v>38988</v>
      </c>
      <c r="B37" s="5" t="s">
        <v>34</v>
      </c>
      <c r="C37" s="5">
        <v>30</v>
      </c>
      <c r="D37" s="5"/>
      <c r="E37" s="5"/>
      <c r="F37" s="5">
        <v>300</v>
      </c>
      <c r="G37" s="5"/>
      <c r="H37" s="5"/>
      <c r="I37" s="5"/>
      <c r="J37" s="5"/>
      <c r="K37" s="5"/>
      <c r="L37" s="5"/>
      <c r="M37" s="5">
        <v>300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>
      <c r="A38" s="27">
        <v>38989</v>
      </c>
      <c r="B38" s="5" t="s">
        <v>34</v>
      </c>
      <c r="C38" s="5">
        <v>31</v>
      </c>
      <c r="D38" s="5"/>
      <c r="E38" s="5"/>
      <c r="F38" s="5">
        <v>300</v>
      </c>
      <c r="G38" s="5"/>
      <c r="H38" s="5"/>
      <c r="I38" s="5"/>
      <c r="J38" s="5"/>
      <c r="K38" s="5"/>
      <c r="L38" s="5"/>
      <c r="M38" s="5">
        <v>300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>
      <c r="A39" s="27">
        <v>38990</v>
      </c>
      <c r="B39" s="5" t="s">
        <v>34</v>
      </c>
      <c r="C39" s="5">
        <v>32</v>
      </c>
      <c r="D39" s="5"/>
      <c r="E39" s="5"/>
      <c r="F39" s="5">
        <v>900</v>
      </c>
      <c r="G39" s="5"/>
      <c r="H39" s="5"/>
      <c r="I39" s="5"/>
      <c r="J39" s="5"/>
      <c r="K39" s="5"/>
      <c r="L39" s="5"/>
      <c r="M39" s="5">
        <v>900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>
      <c r="A40" s="27">
        <v>38993</v>
      </c>
      <c r="B40" s="5" t="s">
        <v>34</v>
      </c>
      <c r="C40" s="5">
        <v>33</v>
      </c>
      <c r="D40" s="5"/>
      <c r="E40" s="5"/>
      <c r="F40" s="5">
        <v>1200</v>
      </c>
      <c r="G40" s="5"/>
      <c r="H40" s="5"/>
      <c r="I40" s="5"/>
      <c r="J40" s="5"/>
      <c r="K40" s="5"/>
      <c r="L40" s="5"/>
      <c r="M40" s="5">
        <v>1200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>
      <c r="A41" s="27">
        <v>38993</v>
      </c>
      <c r="B41" s="5" t="s">
        <v>35</v>
      </c>
      <c r="C41" s="5">
        <v>34</v>
      </c>
      <c r="D41" s="5"/>
      <c r="E41" s="5"/>
      <c r="F41" s="5"/>
      <c r="G41" s="5">
        <v>5000</v>
      </c>
      <c r="H41" s="5"/>
      <c r="I41" s="5"/>
      <c r="J41" s="5"/>
      <c r="K41" s="5">
        <v>5000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>
      <c r="A42" s="27">
        <v>39000</v>
      </c>
      <c r="B42" s="5" t="s">
        <v>34</v>
      </c>
      <c r="C42" s="5">
        <v>35</v>
      </c>
      <c r="D42" s="5"/>
      <c r="E42" s="5"/>
      <c r="F42" s="5">
        <v>900</v>
      </c>
      <c r="G42" s="5"/>
      <c r="H42" s="5"/>
      <c r="I42" s="5"/>
      <c r="J42" s="5"/>
      <c r="K42" s="5"/>
      <c r="L42" s="5"/>
      <c r="M42" s="5">
        <v>900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>
      <c r="A43" s="27">
        <v>39001</v>
      </c>
      <c r="B43" s="5" t="s">
        <v>36</v>
      </c>
      <c r="C43" s="5">
        <v>36</v>
      </c>
      <c r="D43" s="5"/>
      <c r="E43" s="5"/>
      <c r="F43" s="5"/>
      <c r="G43" s="5">
        <v>1040</v>
      </c>
      <c r="H43" s="5"/>
      <c r="I43" s="5"/>
      <c r="J43" s="5"/>
      <c r="K43" s="5">
        <v>1040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>
      <c r="A44" s="27">
        <v>39002</v>
      </c>
      <c r="B44" s="5" t="s">
        <v>34</v>
      </c>
      <c r="C44" s="5">
        <v>37</v>
      </c>
      <c r="D44" s="5"/>
      <c r="E44" s="5"/>
      <c r="F44" s="5">
        <v>300</v>
      </c>
      <c r="G44" s="5"/>
      <c r="H44" s="5"/>
      <c r="I44" s="5"/>
      <c r="J44" s="5"/>
      <c r="K44" s="5"/>
      <c r="L44" s="5"/>
      <c r="M44" s="5">
        <v>300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>
      <c r="A45" s="27">
        <v>39008</v>
      </c>
      <c r="B45" s="5" t="s">
        <v>34</v>
      </c>
      <c r="C45" s="5">
        <v>38</v>
      </c>
      <c r="D45" s="5"/>
      <c r="E45" s="5"/>
      <c r="F45" s="5">
        <v>300</v>
      </c>
      <c r="G45" s="5"/>
      <c r="H45" s="5"/>
      <c r="I45" s="5"/>
      <c r="J45" s="5"/>
      <c r="K45" s="5"/>
      <c r="L45" s="5"/>
      <c r="M45" s="5">
        <v>300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>
      <c r="A46" s="27">
        <v>39021</v>
      </c>
      <c r="B46" s="5" t="s">
        <v>34</v>
      </c>
      <c r="C46" s="5">
        <v>39</v>
      </c>
      <c r="D46" s="5"/>
      <c r="E46" s="5"/>
      <c r="F46" s="5">
        <v>300</v>
      </c>
      <c r="G46" s="5"/>
      <c r="H46" s="5"/>
      <c r="I46" s="5"/>
      <c r="J46" s="5"/>
      <c r="K46" s="5"/>
      <c r="L46" s="5"/>
      <c r="M46" s="5">
        <v>300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>
      <c r="A47" s="27">
        <v>39020</v>
      </c>
      <c r="B47" s="5" t="s">
        <v>37</v>
      </c>
      <c r="C47" s="5">
        <v>40</v>
      </c>
      <c r="D47" s="5"/>
      <c r="E47" s="5"/>
      <c r="F47" s="5"/>
      <c r="G47" s="5">
        <v>1590</v>
      </c>
      <c r="H47" s="5"/>
      <c r="I47" s="5"/>
      <c r="J47" s="5"/>
      <c r="K47" s="5">
        <v>1590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>
      <c r="A48" s="27">
        <v>39020</v>
      </c>
      <c r="B48" s="5" t="s">
        <v>38</v>
      </c>
      <c r="C48" s="5">
        <v>41</v>
      </c>
      <c r="D48" s="5"/>
      <c r="E48" s="5"/>
      <c r="F48" s="5"/>
      <c r="G48" s="5">
        <v>669</v>
      </c>
      <c r="H48" s="5"/>
      <c r="I48" s="5"/>
      <c r="J48" s="5"/>
      <c r="K48" s="5">
        <v>669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36">
      <c r="A49" s="2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36">
      <c r="A50" s="27">
        <v>39027</v>
      </c>
      <c r="B50" s="5" t="s">
        <v>39</v>
      </c>
      <c r="C50" s="5">
        <v>42</v>
      </c>
      <c r="D50" s="5"/>
      <c r="E50" s="5"/>
      <c r="F50" s="5"/>
      <c r="G50" s="5">
        <v>2500</v>
      </c>
      <c r="H50" s="5"/>
      <c r="I50" s="5"/>
      <c r="J50" s="5"/>
      <c r="K50" s="5">
        <v>2500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36">
      <c r="A51" s="27">
        <v>39027</v>
      </c>
      <c r="B51" s="5" t="s">
        <v>40</v>
      </c>
      <c r="C51" s="5">
        <v>43</v>
      </c>
      <c r="D51" s="5"/>
      <c r="E51" s="5"/>
      <c r="F51" s="5"/>
      <c r="G51" s="5">
        <v>5000</v>
      </c>
      <c r="H51" s="5"/>
      <c r="I51" s="5"/>
      <c r="J51" s="5"/>
      <c r="K51" s="5">
        <v>5000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36">
      <c r="A52" s="27">
        <v>39039</v>
      </c>
      <c r="B52" s="5" t="s">
        <v>34</v>
      </c>
      <c r="C52" s="5">
        <v>44</v>
      </c>
      <c r="D52" s="5"/>
      <c r="E52" s="5"/>
      <c r="F52" s="5">
        <v>300</v>
      </c>
      <c r="G52" s="5"/>
      <c r="H52" s="5"/>
      <c r="I52" s="5"/>
      <c r="J52" s="5"/>
      <c r="K52" s="5">
        <v>300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36">
      <c r="A53" s="27">
        <v>39056</v>
      </c>
      <c r="B53" s="5" t="s">
        <v>45</v>
      </c>
      <c r="C53" s="5">
        <v>45</v>
      </c>
      <c r="D53" s="5"/>
      <c r="E53" s="5"/>
      <c r="F53" s="5"/>
      <c r="G53" s="5">
        <v>702</v>
      </c>
      <c r="H53" s="5"/>
      <c r="I53" s="5"/>
      <c r="J53" s="5"/>
      <c r="K53" s="5">
        <v>702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36">
      <c r="A54" s="27">
        <v>39082</v>
      </c>
      <c r="B54" s="5" t="s">
        <v>47</v>
      </c>
      <c r="C54" s="5">
        <v>46</v>
      </c>
      <c r="D54" s="5"/>
      <c r="E54" s="5"/>
      <c r="F54" s="5">
        <v>78.510000000000005</v>
      </c>
      <c r="G54" s="5"/>
      <c r="H54" s="5"/>
      <c r="I54" s="5"/>
      <c r="J54" s="5">
        <v>78.510000000000005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36">
      <c r="A55" s="27">
        <v>39082</v>
      </c>
      <c r="B55" s="5" t="s">
        <v>48</v>
      </c>
      <c r="C55" s="5">
        <v>47</v>
      </c>
      <c r="D55" s="5"/>
      <c r="E55" s="5"/>
      <c r="F55" s="5"/>
      <c r="G55" s="5">
        <v>111</v>
      </c>
      <c r="H55" s="5"/>
      <c r="I55" s="5"/>
      <c r="J55" s="5"/>
      <c r="K55" s="5">
        <v>111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36">
      <c r="B56" s="5" t="s">
        <v>50</v>
      </c>
      <c r="C56" s="5"/>
      <c r="D56" s="5"/>
      <c r="E56" s="5"/>
      <c r="F56" s="5"/>
      <c r="G56" s="5"/>
      <c r="H56" s="5"/>
      <c r="I56" s="5"/>
      <c r="J56" s="5">
        <v>12842</v>
      </c>
      <c r="K56" s="5"/>
      <c r="L56" s="5"/>
      <c r="M56" s="5"/>
      <c r="N56" s="5"/>
      <c r="O56" s="5"/>
      <c r="P56" s="5"/>
      <c r="Q56" s="5"/>
      <c r="R56" s="5"/>
      <c r="S56" s="5">
        <v>12842</v>
      </c>
      <c r="T56" s="5"/>
      <c r="U56" s="5"/>
      <c r="V56" s="5"/>
      <c r="W56" s="5"/>
      <c r="X56" s="5"/>
      <c r="Y56" s="5"/>
    </row>
    <row r="57" spans="1:36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36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36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36" ht="13.5" thickBot="1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>
      <c r="B61" s="5" t="s">
        <v>41</v>
      </c>
      <c r="C61" s="5"/>
      <c r="D61" s="5">
        <f>SUM(D7:D60)</f>
        <v>374.05</v>
      </c>
      <c r="E61" s="5"/>
      <c r="F61" s="5">
        <f>SUM(F7:F60)</f>
        <v>86550.39</v>
      </c>
      <c r="G61" s="5"/>
      <c r="H61" s="5">
        <f>SUM(H7:H60)</f>
        <v>12283.169999999998</v>
      </c>
      <c r="I61" s="5"/>
      <c r="J61" s="5">
        <f>SUM(J7:J60)</f>
        <v>102612.87999999999</v>
      </c>
      <c r="K61" s="5"/>
      <c r="L61" s="5">
        <f>SUM(L7:L60)</f>
        <v>0</v>
      </c>
      <c r="M61" s="5"/>
      <c r="N61" s="5">
        <f>SUM(N7:N60)</f>
        <v>745134.94</v>
      </c>
      <c r="O61" s="5"/>
      <c r="P61" s="5">
        <f>SUM(P7:P60)</f>
        <v>0</v>
      </c>
      <c r="Q61" s="5"/>
      <c r="R61" s="5">
        <f>SUM(R7:R60)</f>
        <v>38527</v>
      </c>
      <c r="S61" s="5"/>
      <c r="T61" s="5">
        <f>SUM(T7:T60)</f>
        <v>950000</v>
      </c>
      <c r="U61" s="5"/>
      <c r="V61" s="5">
        <f>SUM(V7:V60)</f>
        <v>112480</v>
      </c>
      <c r="W61" s="5"/>
      <c r="X61" s="5">
        <f>SUM(X7:X60)</f>
        <v>5000</v>
      </c>
      <c r="Y61" s="5"/>
      <c r="Z61">
        <f>SUM(Z7:Z60)</f>
        <v>0</v>
      </c>
      <c r="AB61">
        <f>SUM(AB7:AB60)</f>
        <v>0</v>
      </c>
      <c r="AD61">
        <f>SUM(AD7:AD60)</f>
        <v>0</v>
      </c>
    </row>
    <row r="62" spans="1:36">
      <c r="B62" s="21" t="s">
        <v>42</v>
      </c>
      <c r="C62" s="21"/>
      <c r="D62" s="21"/>
      <c r="E62" s="21">
        <f>SUM(E8:E61)</f>
        <v>274</v>
      </c>
      <c r="F62" s="21"/>
      <c r="G62" s="21">
        <f>SUM(G7:G60)</f>
        <v>16612</v>
      </c>
      <c r="H62" s="21"/>
      <c r="I62" s="21">
        <f>SUM(I8:I61)</f>
        <v>12283</v>
      </c>
      <c r="J62" s="21"/>
      <c r="K62" s="21">
        <f>SUM(K8:K61)</f>
        <v>16912</v>
      </c>
      <c r="L62" s="21"/>
      <c r="M62" s="21">
        <f>SUM(M8:M61)</f>
        <v>30600</v>
      </c>
      <c r="N62" s="21"/>
      <c r="O62" s="21">
        <f>SUM(O8:O61)</f>
        <v>0</v>
      </c>
      <c r="P62" s="21"/>
      <c r="Q62" s="21">
        <f>SUM(Q8:Q61)</f>
        <v>0</v>
      </c>
      <c r="R62" s="21"/>
      <c r="S62" s="21">
        <f>SUM(S8:S61)</f>
        <v>12842</v>
      </c>
      <c r="T62" s="21"/>
      <c r="U62" s="21">
        <f>SUM(U8:U61)</f>
        <v>0</v>
      </c>
      <c r="V62" s="21"/>
      <c r="W62" s="21">
        <f>SUM(W8:W61)</f>
        <v>0</v>
      </c>
      <c r="X62" s="21"/>
      <c r="Y62" s="21">
        <f>SUM(Y8:Y61)</f>
        <v>0</v>
      </c>
      <c r="Z62" s="31"/>
      <c r="AA62" s="31">
        <f>SUM(AA8:AA61)</f>
        <v>0</v>
      </c>
      <c r="AB62" s="31"/>
      <c r="AC62" s="31">
        <f>SUM(AC8:AC61)</f>
        <v>0</v>
      </c>
      <c r="AD62" s="31"/>
      <c r="AE62" s="31"/>
      <c r="AF62" s="31"/>
    </row>
    <row r="63" spans="1:36">
      <c r="B63" s="21"/>
      <c r="C63" s="21"/>
      <c r="D63" s="29">
        <f>IF(D61&gt;=E62,D61-E62)</f>
        <v>100.05000000000001</v>
      </c>
      <c r="E63" s="32"/>
      <c r="F63" s="29">
        <f>IF(F61&gt;=G62,F61-G62)</f>
        <v>69938.39</v>
      </c>
      <c r="G63" s="32"/>
      <c r="H63" s="29">
        <f>IF(H61&gt;=I62,H61-I62)</f>
        <v>0.16999999999825377</v>
      </c>
      <c r="I63" s="32"/>
      <c r="J63" s="29">
        <f>IF(J61&gt;=K62,J61-K62)</f>
        <v>85700.87999999999</v>
      </c>
      <c r="K63" s="32"/>
      <c r="L63" s="29" t="b">
        <f>IF(L61&gt;=M62,L61-M62)</f>
        <v>0</v>
      </c>
      <c r="M63" s="32"/>
      <c r="N63" s="29">
        <f>IF(N61&gt;=O62,N61-O62)</f>
        <v>745134.94</v>
      </c>
      <c r="O63" s="32"/>
      <c r="P63" s="29">
        <f>IF(P61&gt;=Q62,P61-Q62)</f>
        <v>0</v>
      </c>
      <c r="Q63" s="32"/>
      <c r="R63" s="29">
        <f>IF(R61&gt;=S62,R61-S62)</f>
        <v>25685</v>
      </c>
      <c r="S63" s="32"/>
      <c r="T63" s="29">
        <f>IF(T61&gt;=U62,T61-U62)</f>
        <v>950000</v>
      </c>
      <c r="U63" s="32"/>
      <c r="V63" s="29">
        <f>IF(V61&gt;=W62,V61-W62)</f>
        <v>112480</v>
      </c>
      <c r="W63" s="32"/>
      <c r="X63" s="29">
        <f>IF(X61&gt;=Y62,X61-Y62)</f>
        <v>5000</v>
      </c>
      <c r="Y63" s="32"/>
      <c r="Z63" s="29">
        <f>IF(Z61&gt;=AA62,Z61-AA62)</f>
        <v>0</v>
      </c>
      <c r="AA63" s="30"/>
      <c r="AB63" s="29">
        <f>IF(AB61&gt;=AC62,AB61-AC62)</f>
        <v>0</v>
      </c>
      <c r="AC63" s="30"/>
      <c r="AD63" s="29">
        <f>IF(AD61&gt;=AE62,AD61-AE62)</f>
        <v>0</v>
      </c>
      <c r="AE63" s="30"/>
      <c r="AF63" s="30"/>
    </row>
    <row r="67" spans="2:5">
      <c r="E67" s="43"/>
    </row>
    <row r="71" spans="2:5">
      <c r="B71" s="33" t="s">
        <v>51</v>
      </c>
      <c r="C71" s="5"/>
      <c r="D71" s="34">
        <v>2004</v>
      </c>
      <c r="E71" s="34">
        <v>2005</v>
      </c>
    </row>
    <row r="72" spans="2:5">
      <c r="B72" s="35"/>
    </row>
    <row r="73" spans="2:5">
      <c r="B73" s="33" t="s">
        <v>52</v>
      </c>
    </row>
    <row r="74" spans="2:5">
      <c r="B74" s="33" t="s">
        <v>53</v>
      </c>
    </row>
    <row r="75" spans="2:5">
      <c r="B75" s="36" t="s">
        <v>54</v>
      </c>
      <c r="D75">
        <v>374.05</v>
      </c>
      <c r="E75">
        <f>D63</f>
        <v>100.05000000000001</v>
      </c>
    </row>
    <row r="76" spans="2:5">
      <c r="B76" s="36" t="s">
        <v>55</v>
      </c>
      <c r="D76">
        <v>3338.88</v>
      </c>
      <c r="E76">
        <f>F63</f>
        <v>69938.39</v>
      </c>
    </row>
    <row r="77" spans="2:5">
      <c r="B77" s="36" t="s">
        <v>56</v>
      </c>
      <c r="D77">
        <v>12276.96</v>
      </c>
      <c r="E77">
        <v>0</v>
      </c>
    </row>
    <row r="78" spans="2:5">
      <c r="B78" s="36" t="s">
        <v>57</v>
      </c>
      <c r="D78">
        <v>745134.94</v>
      </c>
      <c r="E78">
        <f>N63</f>
        <v>745134.94</v>
      </c>
    </row>
    <row r="79" spans="2:5">
      <c r="B79" s="36" t="s">
        <v>58</v>
      </c>
      <c r="C79" t="s">
        <v>80</v>
      </c>
      <c r="D79">
        <v>4429.68</v>
      </c>
    </row>
    <row r="80" spans="2:5">
      <c r="B80" s="36" t="s">
        <v>78</v>
      </c>
      <c r="D80">
        <v>217</v>
      </c>
    </row>
    <row r="81" spans="2:5">
      <c r="B81" s="36" t="s">
        <v>59</v>
      </c>
      <c r="C81" t="s">
        <v>80</v>
      </c>
      <c r="D81">
        <v>42874</v>
      </c>
    </row>
    <row r="82" spans="2:5">
      <c r="B82" s="33" t="s">
        <v>60</v>
      </c>
      <c r="D82" s="31">
        <v>808645.51</v>
      </c>
      <c r="E82" s="31">
        <f>SUM(E75:E81)</f>
        <v>815173.37999999989</v>
      </c>
    </row>
    <row r="83" spans="2:5">
      <c r="B83" s="35"/>
    </row>
    <row r="84" spans="2:5">
      <c r="B84" s="35"/>
      <c r="D84" s="37"/>
    </row>
    <row r="85" spans="2:5">
      <c r="B85" s="33" t="s">
        <v>61</v>
      </c>
    </row>
    <row r="86" spans="2:5">
      <c r="B86" s="35" t="s">
        <v>62</v>
      </c>
      <c r="D86">
        <v>38527</v>
      </c>
      <c r="E86">
        <f>R63</f>
        <v>25685</v>
      </c>
    </row>
    <row r="87" spans="2:5">
      <c r="B87" s="35" t="s">
        <v>63</v>
      </c>
      <c r="D87">
        <v>950000</v>
      </c>
      <c r="E87">
        <f>T63</f>
        <v>950000</v>
      </c>
    </row>
    <row r="88" spans="2:5">
      <c r="B88" s="36" t="s">
        <v>64</v>
      </c>
      <c r="D88">
        <v>112480</v>
      </c>
      <c r="E88">
        <f>V63</f>
        <v>112480</v>
      </c>
    </row>
    <row r="89" spans="2:5">
      <c r="B89" s="36" t="s">
        <v>65</v>
      </c>
      <c r="D89">
        <v>5000</v>
      </c>
      <c r="E89">
        <f>X63</f>
        <v>5000</v>
      </c>
    </row>
    <row r="90" spans="2:5">
      <c r="B90" s="38" t="s">
        <v>66</v>
      </c>
      <c r="D90" s="31">
        <v>1106007</v>
      </c>
      <c r="E90" s="31">
        <f>SUM(E86:E89)</f>
        <v>1093165</v>
      </c>
    </row>
    <row r="91" spans="2:5">
      <c r="B91" s="35"/>
    </row>
    <row r="92" spans="2:5">
      <c r="B92" s="35"/>
    </row>
    <row r="93" spans="2:5">
      <c r="B93" s="38" t="s">
        <v>67</v>
      </c>
      <c r="D93" s="31">
        <v>1914652.51</v>
      </c>
      <c r="E93" s="31">
        <f>SUM(E82+E90)</f>
        <v>1908338.38</v>
      </c>
    </row>
    <row r="94" spans="2:5">
      <c r="B94" s="35"/>
    </row>
    <row r="95" spans="2:5">
      <c r="B95" s="35"/>
    </row>
    <row r="96" spans="2:5">
      <c r="B96" s="33" t="s">
        <v>68</v>
      </c>
    </row>
    <row r="97" spans="2:4">
      <c r="B97" s="35" t="s">
        <v>69</v>
      </c>
      <c r="D97" s="39">
        <v>-15000</v>
      </c>
    </row>
    <row r="98" spans="2:4">
      <c r="B98" s="33" t="s">
        <v>70</v>
      </c>
      <c r="D98" s="40">
        <v>-15000</v>
      </c>
    </row>
    <row r="99" spans="2:4">
      <c r="B99" s="35"/>
    </row>
    <row r="100" spans="2:4">
      <c r="B100" s="35"/>
    </row>
    <row r="101" spans="2:4">
      <c r="B101" s="33" t="s">
        <v>71</v>
      </c>
    </row>
    <row r="102" spans="2:4">
      <c r="B102" s="35" t="s">
        <v>72</v>
      </c>
      <c r="D102" s="39">
        <v>1118849</v>
      </c>
    </row>
    <row r="103" spans="2:4">
      <c r="B103" s="36" t="s">
        <v>73</v>
      </c>
      <c r="D103" s="39">
        <v>673552.26</v>
      </c>
    </row>
    <row r="104" spans="2:4">
      <c r="B104" s="36" t="s">
        <v>74</v>
      </c>
      <c r="D104" s="39">
        <v>177912.42</v>
      </c>
    </row>
    <row r="105" spans="2:4">
      <c r="B105" s="38" t="s">
        <v>75</v>
      </c>
      <c r="D105" s="40">
        <v>1970313.68</v>
      </c>
    </row>
    <row r="106" spans="2:4">
      <c r="B106" s="35"/>
    </row>
    <row r="107" spans="2:4">
      <c r="B107" s="33" t="s">
        <v>76</v>
      </c>
    </row>
    <row r="108" spans="2:4">
      <c r="B108" s="36" t="s">
        <v>79</v>
      </c>
      <c r="D108" s="41">
        <v>-40661.169999999925</v>
      </c>
    </row>
    <row r="109" spans="2:4">
      <c r="B109" s="35"/>
    </row>
    <row r="110" spans="2:4">
      <c r="B110" s="33" t="s">
        <v>77</v>
      </c>
      <c r="D110" s="42">
        <v>1914652.51</v>
      </c>
    </row>
    <row r="111" spans="2:4">
      <c r="B111" s="35"/>
    </row>
  </sheetData>
  <phoneticPr fontId="2" type="noConversion"/>
  <pageMargins left="0.75" right="0.75" top="1" bottom="1" header="0.5" footer="0.5"/>
  <headerFooter alignWithMargins="0"/>
  <legacy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/>
  <dimension ref="A3:AV216"/>
  <sheetViews>
    <sheetView workbookViewId="0">
      <pane xSplit="3" ySplit="9" topLeftCell="D99" activePane="bottomRight" state="frozen"/>
      <selection pane="topRight" activeCell="D1" sqref="D1"/>
      <selection pane="bottomLeft" activeCell="A10" sqref="A10"/>
      <selection pane="bottomRight" activeCell="E114" sqref="E114"/>
    </sheetView>
  </sheetViews>
  <sheetFormatPr baseColWidth="10" defaultColWidth="11.42578125" defaultRowHeight="12.75"/>
  <cols>
    <col min="1" max="1" width="9.7109375" customWidth="1"/>
    <col min="2" max="2" width="28.42578125" customWidth="1"/>
    <col min="3" max="3" width="4.42578125" customWidth="1"/>
    <col min="4" max="4" width="12.42578125" customWidth="1"/>
    <col min="5" max="5" width="14.140625" customWidth="1"/>
    <col min="6" max="6" width="14.42578125" customWidth="1"/>
    <col min="7" max="7" width="11.7109375" customWidth="1"/>
    <col min="8" max="8" width="9.85546875" customWidth="1"/>
    <col min="9" max="9" width="13.140625" customWidth="1"/>
    <col min="10" max="10" width="8.28515625" customWidth="1"/>
    <col min="11" max="13" width="7.42578125" customWidth="1"/>
    <col min="14" max="14" width="7.85546875" customWidth="1"/>
    <col min="15" max="15" width="8.7109375" customWidth="1"/>
    <col min="16" max="16" width="9" customWidth="1"/>
    <col min="17" max="17" width="9.42578125" customWidth="1"/>
    <col min="18" max="18" width="8.85546875" customWidth="1"/>
    <col min="19" max="19" width="10" customWidth="1"/>
    <col min="20" max="20" width="9.140625" customWidth="1"/>
    <col min="21" max="21" width="8" customWidth="1"/>
    <col min="22" max="22" width="9.7109375" customWidth="1"/>
    <col min="23" max="23" width="7.85546875" customWidth="1"/>
    <col min="24" max="24" width="10.7109375" customWidth="1"/>
    <col min="25" max="25" width="9.28515625" customWidth="1"/>
    <col min="26" max="26" width="9.42578125" customWidth="1"/>
    <col min="27" max="27" width="7.42578125" customWidth="1"/>
    <col min="28" max="28" width="9.42578125" customWidth="1"/>
    <col min="29" max="29" width="10.7109375" customWidth="1"/>
    <col min="30" max="30" width="9" customWidth="1"/>
    <col min="31" max="31" width="10.85546875" customWidth="1"/>
    <col min="32" max="32" width="8.28515625" customWidth="1"/>
    <col min="33" max="33" width="10" customWidth="1"/>
    <col min="34" max="34" width="7.7109375" customWidth="1"/>
    <col min="35" max="35" width="10" customWidth="1"/>
    <col min="36" max="36" width="9.28515625" customWidth="1"/>
    <col min="40" max="40" width="16.85546875" customWidth="1"/>
  </cols>
  <sheetData>
    <row r="3" spans="1:4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13.5" thickBot="1">
      <c r="A4" s="5"/>
      <c r="B4" s="12" t="s">
        <v>81</v>
      </c>
      <c r="C4" s="5"/>
      <c r="D4" s="5"/>
      <c r="E4" s="5"/>
      <c r="F4" s="25"/>
      <c r="G4" s="5"/>
      <c r="H4" s="5"/>
      <c r="I4" s="4"/>
      <c r="J4" s="4"/>
      <c r="K4" s="5"/>
      <c r="L4" s="5"/>
      <c r="M4" s="5"/>
      <c r="N4" s="44"/>
      <c r="O4" s="4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>
      <c r="A5" s="5"/>
      <c r="B5" s="5"/>
      <c r="C5" s="5"/>
      <c r="D5" s="5"/>
      <c r="E5" s="5"/>
      <c r="F5" s="25"/>
      <c r="G5" s="5"/>
      <c r="H5" s="5" t="s">
        <v>82</v>
      </c>
      <c r="I5" s="4"/>
      <c r="J5" s="46"/>
      <c r="K5" s="47"/>
      <c r="L5" s="32"/>
      <c r="M5" s="32"/>
      <c r="N5" s="32"/>
      <c r="O5" s="8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48"/>
      <c r="AI5" s="5"/>
      <c r="AJ5" s="32"/>
      <c r="AK5" s="32"/>
      <c r="AL5" s="8"/>
      <c r="AM5" s="8"/>
      <c r="AN5" s="5"/>
      <c r="AO5" s="5"/>
      <c r="AP5" s="5"/>
      <c r="AQ5" s="5"/>
      <c r="AR5" s="5"/>
      <c r="AS5" s="5"/>
      <c r="AT5" s="5"/>
      <c r="AU5" s="5"/>
      <c r="AV5" s="5"/>
    </row>
    <row r="6" spans="1:48">
      <c r="A6" s="1" t="s">
        <v>20</v>
      </c>
      <c r="B6" s="2" t="s">
        <v>0</v>
      </c>
      <c r="C6" s="1" t="s">
        <v>1</v>
      </c>
      <c r="D6" s="1" t="s">
        <v>2</v>
      </c>
      <c r="E6" s="2"/>
      <c r="F6" s="1" t="s">
        <v>3</v>
      </c>
      <c r="G6" s="1"/>
      <c r="H6" s="3" t="s">
        <v>4</v>
      </c>
      <c r="I6" s="3"/>
      <c r="J6" s="4" t="s">
        <v>5</v>
      </c>
      <c r="K6" s="5"/>
      <c r="L6" s="5" t="s">
        <v>237</v>
      </c>
      <c r="M6" s="5"/>
      <c r="N6" s="1" t="s">
        <v>6</v>
      </c>
      <c r="O6" s="1"/>
      <c r="P6" s="6" t="s">
        <v>7</v>
      </c>
      <c r="Q6" s="3"/>
      <c r="R6" s="2" t="s">
        <v>8</v>
      </c>
      <c r="S6" s="1"/>
      <c r="T6" s="5" t="s">
        <v>9</v>
      </c>
      <c r="U6" s="1"/>
      <c r="V6" s="2" t="s">
        <v>10</v>
      </c>
      <c r="W6" s="2"/>
      <c r="X6" s="1" t="s">
        <v>11</v>
      </c>
      <c r="Y6" s="2"/>
      <c r="Z6" s="2" t="s">
        <v>12</v>
      </c>
      <c r="AA6" s="2"/>
      <c r="AB6" s="1" t="s">
        <v>13</v>
      </c>
      <c r="AC6" s="2"/>
      <c r="AD6" s="1" t="s">
        <v>14</v>
      </c>
      <c r="AE6" s="2"/>
      <c r="AF6" s="1" t="s">
        <v>15</v>
      </c>
      <c r="AG6" s="2"/>
      <c r="AH6" s="7" t="s">
        <v>30</v>
      </c>
      <c r="AI6" s="3"/>
      <c r="AJ6" s="8" t="s">
        <v>32</v>
      </c>
      <c r="AK6" s="9"/>
      <c r="AL6" s="8" t="s">
        <v>32</v>
      </c>
      <c r="AM6" s="9"/>
      <c r="AN6" s="5"/>
      <c r="AO6" s="5"/>
      <c r="AP6" s="5"/>
      <c r="AQ6" s="5"/>
      <c r="AR6" s="5"/>
      <c r="AS6" s="5"/>
      <c r="AT6" s="5"/>
      <c r="AU6" s="5"/>
      <c r="AV6" s="5"/>
    </row>
    <row r="7" spans="1:48" ht="13.5" thickBot="1">
      <c r="A7" s="10"/>
      <c r="B7" s="11"/>
      <c r="C7" s="10" t="s">
        <v>16</v>
      </c>
      <c r="D7" s="10"/>
      <c r="E7" s="11"/>
      <c r="F7" s="10" t="s">
        <v>17</v>
      </c>
      <c r="G7" s="10"/>
      <c r="H7" s="12" t="s">
        <v>18</v>
      </c>
      <c r="I7" s="10"/>
      <c r="J7" s="10" t="s">
        <v>19</v>
      </c>
      <c r="K7" s="12"/>
      <c r="L7" s="12"/>
      <c r="M7" s="12"/>
      <c r="N7" s="10" t="s">
        <v>20</v>
      </c>
      <c r="O7" s="10"/>
      <c r="P7" s="12" t="s">
        <v>21</v>
      </c>
      <c r="Q7" s="10"/>
      <c r="R7" s="11"/>
      <c r="S7" s="10"/>
      <c r="T7" s="13" t="s">
        <v>22</v>
      </c>
      <c r="U7" s="10"/>
      <c r="V7" s="11" t="s">
        <v>23</v>
      </c>
      <c r="W7" s="11"/>
      <c r="X7" s="10" t="s">
        <v>24</v>
      </c>
      <c r="Y7" s="11"/>
      <c r="Z7" s="11" t="s">
        <v>25</v>
      </c>
      <c r="AA7" s="11"/>
      <c r="AB7" s="10" t="s">
        <v>26</v>
      </c>
      <c r="AC7" s="11"/>
      <c r="AD7" s="10" t="s">
        <v>27</v>
      </c>
      <c r="AE7" s="11"/>
      <c r="AF7" s="10"/>
      <c r="AG7" s="11"/>
      <c r="AH7" s="10"/>
      <c r="AI7" s="14"/>
      <c r="AJ7" s="12"/>
      <c r="AK7" s="15"/>
      <c r="AL7" s="12" t="s">
        <v>83</v>
      </c>
      <c r="AM7" s="15"/>
      <c r="AN7" s="5"/>
      <c r="AO7" s="5"/>
      <c r="AP7" s="5"/>
      <c r="AQ7" s="5"/>
      <c r="AR7" s="5"/>
      <c r="AS7" s="5"/>
      <c r="AT7" s="5"/>
      <c r="AU7" s="5"/>
      <c r="AV7" s="5"/>
    </row>
    <row r="8" spans="1:48" ht="13.5" thickBot="1">
      <c r="A8" s="16"/>
      <c r="B8" s="17"/>
      <c r="C8" s="10"/>
      <c r="D8" s="16" t="s">
        <v>28</v>
      </c>
      <c r="E8" s="17" t="s">
        <v>29</v>
      </c>
      <c r="F8" s="16" t="s">
        <v>28</v>
      </c>
      <c r="G8" s="16" t="s">
        <v>29</v>
      </c>
      <c r="H8" s="18" t="s">
        <v>28</v>
      </c>
      <c r="I8" s="16" t="s">
        <v>29</v>
      </c>
      <c r="J8" s="16" t="s">
        <v>28</v>
      </c>
      <c r="K8" s="18" t="s">
        <v>29</v>
      </c>
      <c r="L8" s="18" t="s">
        <v>238</v>
      </c>
      <c r="M8" s="18" t="s">
        <v>29</v>
      </c>
      <c r="N8" s="16" t="s">
        <v>28</v>
      </c>
      <c r="O8" s="16" t="s">
        <v>29</v>
      </c>
      <c r="P8" s="18" t="s">
        <v>28</v>
      </c>
      <c r="Q8" s="16" t="s">
        <v>29</v>
      </c>
      <c r="R8" s="17" t="s">
        <v>28</v>
      </c>
      <c r="S8" s="16" t="s">
        <v>29</v>
      </c>
      <c r="T8" s="17" t="s">
        <v>28</v>
      </c>
      <c r="U8" s="16" t="s">
        <v>29</v>
      </c>
      <c r="V8" s="17" t="s">
        <v>28</v>
      </c>
      <c r="W8" s="17" t="s">
        <v>29</v>
      </c>
      <c r="X8" s="16" t="s">
        <v>28</v>
      </c>
      <c r="Y8" s="17" t="s">
        <v>29</v>
      </c>
      <c r="Z8" s="17" t="s">
        <v>28</v>
      </c>
      <c r="AA8" s="17" t="s">
        <v>29</v>
      </c>
      <c r="AB8" s="16" t="s">
        <v>28</v>
      </c>
      <c r="AC8" s="17" t="s">
        <v>29</v>
      </c>
      <c r="AD8" s="16" t="s">
        <v>28</v>
      </c>
      <c r="AE8" s="17" t="s">
        <v>29</v>
      </c>
      <c r="AF8" s="16" t="s">
        <v>28</v>
      </c>
      <c r="AG8" s="17" t="s">
        <v>29</v>
      </c>
      <c r="AH8" s="16" t="s">
        <v>28</v>
      </c>
      <c r="AI8" s="16" t="s">
        <v>29</v>
      </c>
      <c r="AJ8" s="8" t="s">
        <v>28</v>
      </c>
      <c r="AK8" s="19" t="s">
        <v>29</v>
      </c>
      <c r="AL8" s="8" t="s">
        <v>28</v>
      </c>
      <c r="AM8" s="19" t="s">
        <v>29</v>
      </c>
      <c r="AN8" s="5"/>
      <c r="AO8" s="5"/>
      <c r="AP8" s="5"/>
      <c r="AQ8" s="5"/>
      <c r="AR8" s="5"/>
      <c r="AS8" s="5"/>
      <c r="AT8" s="5"/>
      <c r="AU8" s="5"/>
      <c r="AV8" s="5"/>
    </row>
    <row r="9" spans="1:48" ht="13.5" thickBot="1">
      <c r="A9" s="16"/>
      <c r="B9" s="17" t="s">
        <v>84</v>
      </c>
      <c r="C9" s="16"/>
      <c r="D9" s="49">
        <v>97.6</v>
      </c>
      <c r="E9" s="50"/>
      <c r="F9" s="51">
        <v>19850.38</v>
      </c>
      <c r="G9" s="17"/>
      <c r="H9" s="51">
        <v>12245.76</v>
      </c>
      <c r="I9" s="16"/>
      <c r="J9" s="52"/>
      <c r="K9" s="17"/>
      <c r="L9" s="17"/>
      <c r="M9" s="17"/>
      <c r="N9" s="16"/>
      <c r="O9" s="53"/>
      <c r="P9" s="51">
        <v>813657.94</v>
      </c>
      <c r="Q9" s="16"/>
      <c r="R9" s="17"/>
      <c r="S9" s="53"/>
      <c r="T9" s="54">
        <v>51369</v>
      </c>
      <c r="U9" s="16"/>
      <c r="V9" s="54">
        <v>950000</v>
      </c>
      <c r="W9" s="17"/>
      <c r="X9" s="55">
        <v>112480</v>
      </c>
      <c r="Y9" s="17"/>
      <c r="Z9" s="54">
        <v>5000</v>
      </c>
      <c r="AA9" s="17"/>
      <c r="AB9" s="16"/>
      <c r="AC9" s="54">
        <v>1118849</v>
      </c>
      <c r="AD9" s="16"/>
      <c r="AE9" s="54">
        <v>670246.26</v>
      </c>
      <c r="AF9" s="16"/>
      <c r="AG9" s="56">
        <f>171471+6441.42</f>
        <v>177912.42</v>
      </c>
      <c r="AH9" s="16"/>
      <c r="AI9" s="57">
        <v>5440</v>
      </c>
      <c r="AJ9" s="58">
        <v>7747</v>
      </c>
      <c r="AK9" s="59"/>
      <c r="AL9" s="58"/>
      <c r="AM9" s="59"/>
      <c r="AN9" s="25">
        <f>D9-E9+F9-G9+H9-I9+J9-K9+N9-O9+P9-Q9+R9-S9+T9-U9+V9-W9+X9-Y9+Z9-AA9+AB9-AC9+AD9-AE9+AF9-AG9+AH9-AI9+AJ9-AK9+AL9-AM9</f>
        <v>-8.7311491370201111E-11</v>
      </c>
      <c r="AO9" s="25"/>
      <c r="AP9" s="5"/>
      <c r="AQ9" s="5"/>
      <c r="AR9" s="5"/>
      <c r="AS9" s="5"/>
      <c r="AT9" s="5"/>
      <c r="AU9" s="5"/>
      <c r="AV9" s="5"/>
    </row>
    <row r="10" spans="1:48">
      <c r="A10" s="60">
        <v>38001</v>
      </c>
      <c r="B10" s="5" t="s">
        <v>85</v>
      </c>
      <c r="C10" s="5">
        <v>1</v>
      </c>
      <c r="D10" s="45"/>
      <c r="E10" s="45"/>
      <c r="F10" s="45"/>
      <c r="G10" s="45">
        <v>3000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>
        <v>3000</v>
      </c>
      <c r="AI10" s="45"/>
      <c r="AJ10" s="61"/>
      <c r="AK10" s="45"/>
      <c r="AL10" s="45"/>
      <c r="AM10" s="45"/>
      <c r="AN10" s="45">
        <f>D10-E10+F10-G10+H10-I10+J10-K10+N10-O10+P10-Q10+R10-S10+T10-U10+V10-W10+X10-Y10+Z10-AA10+AB10-AC10+AD10-AE10+AF10-AG10+AH10-AI10+AJ10-AK10+AL10-AM10</f>
        <v>0</v>
      </c>
      <c r="AO10" s="45"/>
      <c r="AP10" s="45"/>
      <c r="AQ10" s="45"/>
      <c r="AR10" s="45"/>
      <c r="AS10" s="45"/>
      <c r="AT10" s="5"/>
      <c r="AU10" s="5"/>
      <c r="AV10" s="5"/>
    </row>
    <row r="11" spans="1:48">
      <c r="A11" s="60">
        <v>38001</v>
      </c>
      <c r="B11" s="61" t="s">
        <v>86</v>
      </c>
      <c r="C11" s="5">
        <v>2</v>
      </c>
      <c r="D11" s="45"/>
      <c r="E11" s="45"/>
      <c r="F11" s="45"/>
      <c r="G11" s="45">
        <v>5000</v>
      </c>
      <c r="H11" s="45"/>
      <c r="I11" s="45"/>
      <c r="J11" s="45">
        <v>5000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>
        <f t="shared" ref="AN11:AN74" si="0">D11-E11+F11-G11+H11-I11+J11-K11+N11-O11+P11-Q11+R11-S11+T11-U11+V11-W11+X11-Y11+Z11-AA11+AB11-AC11+AD11-AE11+AF11-AG11+AH11-AI11+AJ11-AK11+AL11-AM11</f>
        <v>0</v>
      </c>
      <c r="AO11" s="45"/>
      <c r="AP11" s="45"/>
      <c r="AQ11" s="45"/>
      <c r="AR11" s="45"/>
      <c r="AS11" s="45"/>
      <c r="AT11" s="5"/>
      <c r="AU11" s="5"/>
      <c r="AV11" s="5"/>
    </row>
    <row r="12" spans="1:48">
      <c r="A12" s="60">
        <v>38016</v>
      </c>
      <c r="B12" s="61" t="s">
        <v>87</v>
      </c>
      <c r="C12" s="5">
        <v>3</v>
      </c>
      <c r="D12" s="45"/>
      <c r="E12" s="45"/>
      <c r="F12" s="45"/>
      <c r="G12" s="45">
        <v>18</v>
      </c>
      <c r="H12" s="45"/>
      <c r="I12" s="45"/>
      <c r="J12" s="45">
        <v>18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>
        <f t="shared" si="0"/>
        <v>0</v>
      </c>
      <c r="AO12" s="45"/>
      <c r="AP12" s="45"/>
      <c r="AQ12" s="45"/>
      <c r="AR12" s="45"/>
      <c r="AS12" s="45"/>
      <c r="AT12" s="5"/>
      <c r="AU12" s="5"/>
      <c r="AV12" s="5"/>
    </row>
    <row r="13" spans="1:48">
      <c r="A13" s="60">
        <v>38027</v>
      </c>
      <c r="B13" s="61" t="s">
        <v>88</v>
      </c>
      <c r="C13" s="5">
        <v>4</v>
      </c>
      <c r="D13" s="45"/>
      <c r="E13" s="45"/>
      <c r="F13" s="45"/>
      <c r="G13" s="45">
        <v>663</v>
      </c>
      <c r="H13" s="45"/>
      <c r="I13" s="45"/>
      <c r="J13" s="45">
        <v>663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>
        <f t="shared" si="0"/>
        <v>0</v>
      </c>
      <c r="AO13" s="45"/>
      <c r="AP13" s="45"/>
      <c r="AQ13" s="45"/>
      <c r="AR13" s="45"/>
      <c r="AS13" s="45"/>
      <c r="AT13" s="5"/>
      <c r="AU13" s="5"/>
      <c r="AV13" s="5"/>
    </row>
    <row r="14" spans="1:48">
      <c r="A14" s="60">
        <v>38027</v>
      </c>
      <c r="B14" s="61" t="s">
        <v>89</v>
      </c>
      <c r="C14" s="5">
        <v>5</v>
      </c>
      <c r="D14" s="45"/>
      <c r="E14" s="45"/>
      <c r="F14" s="45"/>
      <c r="G14" s="45">
        <v>977</v>
      </c>
      <c r="H14" s="45"/>
      <c r="I14" s="45"/>
      <c r="J14" s="45">
        <v>977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>
        <f t="shared" si="0"/>
        <v>0</v>
      </c>
      <c r="AO14" s="45"/>
      <c r="AP14" s="45"/>
      <c r="AQ14" s="45"/>
      <c r="AR14" s="45"/>
      <c r="AS14" s="45"/>
      <c r="AT14" s="5"/>
      <c r="AU14" s="5"/>
      <c r="AV14" s="5"/>
    </row>
    <row r="15" spans="1:48">
      <c r="A15" s="60">
        <v>38027</v>
      </c>
      <c r="B15" s="61" t="s">
        <v>90</v>
      </c>
      <c r="C15" s="5">
        <v>6</v>
      </c>
      <c r="D15" s="45"/>
      <c r="E15" s="45"/>
      <c r="F15" s="45"/>
      <c r="G15" s="45">
        <v>1128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>
        <v>1128</v>
      </c>
      <c r="AI15" s="45"/>
      <c r="AJ15" s="45"/>
      <c r="AK15" s="45"/>
      <c r="AL15" s="45"/>
      <c r="AM15" s="45"/>
      <c r="AN15" s="45">
        <f t="shared" si="0"/>
        <v>0</v>
      </c>
      <c r="AO15" s="45"/>
      <c r="AP15" s="45"/>
      <c r="AQ15" s="45"/>
      <c r="AR15" s="45"/>
      <c r="AS15" s="45"/>
      <c r="AT15" s="5"/>
      <c r="AU15" s="5"/>
      <c r="AV15" s="5"/>
    </row>
    <row r="16" spans="1:48">
      <c r="A16" s="60">
        <v>38044</v>
      </c>
      <c r="B16" s="61" t="s">
        <v>91</v>
      </c>
      <c r="C16" s="5">
        <v>7</v>
      </c>
      <c r="D16" s="45"/>
      <c r="E16" s="45"/>
      <c r="F16" s="45"/>
      <c r="G16" s="45">
        <v>27</v>
      </c>
      <c r="H16" s="45"/>
      <c r="I16" s="45"/>
      <c r="J16" s="45">
        <v>27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>
        <f t="shared" si="0"/>
        <v>0</v>
      </c>
      <c r="AO16" s="45"/>
      <c r="AP16" s="45"/>
      <c r="AQ16" s="45"/>
      <c r="AR16" s="45"/>
      <c r="AS16" s="45"/>
      <c r="AT16" s="5"/>
      <c r="AU16" s="5"/>
      <c r="AV16" s="5"/>
    </row>
    <row r="17" spans="1:48">
      <c r="A17" s="60">
        <v>38096</v>
      </c>
      <c r="B17" s="61" t="s">
        <v>92</v>
      </c>
      <c r="C17" s="5">
        <v>8</v>
      </c>
      <c r="D17" s="45"/>
      <c r="E17" s="45"/>
      <c r="F17" s="45">
        <v>600</v>
      </c>
      <c r="G17" s="45"/>
      <c r="H17" s="45"/>
      <c r="I17" s="45"/>
      <c r="J17" s="45"/>
      <c r="K17" s="45"/>
      <c r="L17" s="45"/>
      <c r="M17" s="45"/>
      <c r="N17" s="45"/>
      <c r="O17" s="45">
        <v>600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>
        <f t="shared" si="0"/>
        <v>0</v>
      </c>
      <c r="AO17" s="45"/>
      <c r="AP17" s="45"/>
      <c r="AQ17" s="45"/>
      <c r="AR17" s="45"/>
      <c r="AS17" s="45"/>
      <c r="AT17" s="5"/>
      <c r="AU17" s="5"/>
      <c r="AV17" s="5"/>
    </row>
    <row r="18" spans="1:48">
      <c r="A18" s="60">
        <v>38097</v>
      </c>
      <c r="B18" s="61" t="s">
        <v>93</v>
      </c>
      <c r="C18" s="5">
        <v>9</v>
      </c>
      <c r="D18" s="45"/>
      <c r="E18" s="45"/>
      <c r="F18" s="45">
        <v>1200</v>
      </c>
      <c r="G18" s="45"/>
      <c r="H18" s="45"/>
      <c r="I18" s="45"/>
      <c r="J18" s="45"/>
      <c r="K18" s="45"/>
      <c r="L18" s="45"/>
      <c r="M18" s="45"/>
      <c r="N18" s="45"/>
      <c r="O18" s="45">
        <v>1200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>
        <f t="shared" si="0"/>
        <v>0</v>
      </c>
      <c r="AO18" s="45"/>
      <c r="AP18" s="45"/>
      <c r="AQ18" s="45"/>
      <c r="AR18" s="45"/>
      <c r="AS18" s="45"/>
      <c r="AT18" s="5"/>
      <c r="AU18" s="5"/>
      <c r="AV18" s="5"/>
    </row>
    <row r="19" spans="1:48">
      <c r="A19" s="60">
        <v>38098</v>
      </c>
      <c r="B19" s="61" t="s">
        <v>94</v>
      </c>
      <c r="C19" s="5">
        <v>10</v>
      </c>
      <c r="D19" s="45"/>
      <c r="E19" s="45"/>
      <c r="F19" s="45">
        <v>1500</v>
      </c>
      <c r="G19" s="45"/>
      <c r="H19" s="45"/>
      <c r="I19" s="45"/>
      <c r="J19" s="45"/>
      <c r="K19" s="45"/>
      <c r="L19" s="45"/>
      <c r="M19" s="45"/>
      <c r="N19" s="45"/>
      <c r="O19" s="45">
        <v>1500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>
        <f t="shared" si="0"/>
        <v>0</v>
      </c>
      <c r="AO19" s="45"/>
      <c r="AP19" s="45"/>
      <c r="AQ19" s="45"/>
      <c r="AR19" s="45"/>
      <c r="AS19" s="45"/>
      <c r="AT19" s="5"/>
      <c r="AU19" s="5"/>
      <c r="AV19" s="5"/>
    </row>
    <row r="20" spans="1:48">
      <c r="A20" s="60">
        <v>38099</v>
      </c>
      <c r="B20" s="61" t="s">
        <v>94</v>
      </c>
      <c r="C20" s="5">
        <v>11</v>
      </c>
      <c r="D20" s="45"/>
      <c r="E20" s="45"/>
      <c r="F20" s="45">
        <v>1800</v>
      </c>
      <c r="G20" s="45"/>
      <c r="H20" s="45"/>
      <c r="I20" s="45"/>
      <c r="J20" s="45"/>
      <c r="K20" s="45"/>
      <c r="L20" s="45"/>
      <c r="M20" s="45"/>
      <c r="N20" s="45"/>
      <c r="O20" s="45">
        <v>1800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>
        <f t="shared" si="0"/>
        <v>0</v>
      </c>
      <c r="AO20" s="45"/>
      <c r="AP20" s="45"/>
      <c r="AQ20" s="45"/>
      <c r="AR20" s="45"/>
      <c r="AS20" s="45"/>
      <c r="AT20" s="5"/>
      <c r="AU20" s="5"/>
      <c r="AV20" s="5"/>
    </row>
    <row r="21" spans="1:48">
      <c r="A21" s="60">
        <v>38100</v>
      </c>
      <c r="B21" s="5"/>
      <c r="C21" s="5">
        <v>12</v>
      </c>
      <c r="D21" s="45"/>
      <c r="E21" s="45"/>
      <c r="F21" s="45">
        <v>300</v>
      </c>
      <c r="G21" s="45"/>
      <c r="H21" s="45"/>
      <c r="I21" s="45"/>
      <c r="J21" s="45"/>
      <c r="K21" s="45"/>
      <c r="L21" s="45"/>
      <c r="M21" s="45"/>
      <c r="N21" s="45"/>
      <c r="O21" s="45">
        <v>300</v>
      </c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>
        <f t="shared" si="0"/>
        <v>0</v>
      </c>
      <c r="AO21" s="45"/>
      <c r="AP21" s="45"/>
      <c r="AQ21" s="45"/>
      <c r="AR21" s="45"/>
      <c r="AS21" s="45"/>
      <c r="AT21" s="5"/>
      <c r="AU21" s="5"/>
      <c r="AV21" s="5"/>
    </row>
    <row r="22" spans="1:48">
      <c r="A22" s="60">
        <v>38101</v>
      </c>
      <c r="B22" s="5"/>
      <c r="C22" s="5">
        <v>13</v>
      </c>
      <c r="D22" s="45"/>
      <c r="E22" s="45"/>
      <c r="F22" s="45">
        <v>600</v>
      </c>
      <c r="G22" s="45"/>
      <c r="H22" s="45"/>
      <c r="I22" s="45"/>
      <c r="J22" s="45"/>
      <c r="K22" s="45"/>
      <c r="L22" s="45"/>
      <c r="M22" s="45"/>
      <c r="N22" s="45"/>
      <c r="O22" s="45">
        <v>600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>
        <f t="shared" si="0"/>
        <v>0</v>
      </c>
      <c r="AO22" s="45"/>
      <c r="AP22" s="45"/>
      <c r="AQ22" s="45"/>
      <c r="AR22" s="45"/>
      <c r="AS22" s="45"/>
      <c r="AT22" s="5"/>
      <c r="AU22" s="5"/>
      <c r="AV22" s="5"/>
    </row>
    <row r="23" spans="1:48">
      <c r="A23" s="60">
        <v>38102</v>
      </c>
      <c r="B23" s="5"/>
      <c r="C23" s="5">
        <v>14</v>
      </c>
      <c r="D23" s="45"/>
      <c r="E23" s="45"/>
      <c r="F23" s="45">
        <v>1500</v>
      </c>
      <c r="G23" s="45"/>
      <c r="H23" s="45"/>
      <c r="I23" s="45"/>
      <c r="J23" s="45"/>
      <c r="K23" s="45"/>
      <c r="L23" s="45"/>
      <c r="M23" s="45"/>
      <c r="N23" s="45"/>
      <c r="O23" s="45">
        <v>1500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>
        <f t="shared" si="0"/>
        <v>0</v>
      </c>
      <c r="AO23" s="45"/>
      <c r="AP23" s="45"/>
      <c r="AQ23" s="45"/>
      <c r="AR23" s="45"/>
      <c r="AS23" s="45"/>
      <c r="AT23" s="5"/>
      <c r="AU23" s="5"/>
      <c r="AV23" s="5"/>
    </row>
    <row r="24" spans="1:48">
      <c r="A24" s="60">
        <v>38103</v>
      </c>
      <c r="B24" s="5"/>
      <c r="C24" s="5">
        <v>15</v>
      </c>
      <c r="D24" s="45"/>
      <c r="E24" s="45"/>
      <c r="F24" s="45">
        <v>4200</v>
      </c>
      <c r="G24" s="45"/>
      <c r="H24" s="45"/>
      <c r="I24" s="45"/>
      <c r="J24" s="45"/>
      <c r="K24" s="45"/>
      <c r="L24" s="45"/>
      <c r="M24" s="45"/>
      <c r="N24" s="45"/>
      <c r="O24" s="45">
        <v>4200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>
        <f t="shared" si="0"/>
        <v>0</v>
      </c>
      <c r="AO24" s="45"/>
      <c r="AP24" s="45"/>
      <c r="AQ24" s="45"/>
      <c r="AR24" s="45"/>
      <c r="AS24" s="45"/>
      <c r="AT24" s="5"/>
      <c r="AU24" s="5"/>
      <c r="AV24" s="5"/>
    </row>
    <row r="25" spans="1:48">
      <c r="A25" s="60">
        <v>38104</v>
      </c>
      <c r="B25" s="5"/>
      <c r="C25" s="5">
        <v>16</v>
      </c>
      <c r="D25" s="45"/>
      <c r="E25" s="45"/>
      <c r="F25" s="45">
        <v>900</v>
      </c>
      <c r="G25" s="45"/>
      <c r="H25" s="45"/>
      <c r="I25" s="45"/>
      <c r="J25" s="45"/>
      <c r="K25" s="45"/>
      <c r="L25" s="45"/>
      <c r="M25" s="45"/>
      <c r="N25" s="45"/>
      <c r="O25" s="45">
        <v>900</v>
      </c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>
        <f t="shared" si="0"/>
        <v>0</v>
      </c>
      <c r="AO25" s="45"/>
      <c r="AP25" s="45"/>
      <c r="AQ25" s="45"/>
      <c r="AR25" s="45"/>
      <c r="AS25" s="45"/>
      <c r="AT25" s="5"/>
      <c r="AU25" s="5"/>
      <c r="AV25" s="5"/>
    </row>
    <row r="26" spans="1:48">
      <c r="A26" s="60">
        <v>38105</v>
      </c>
      <c r="B26" s="5"/>
      <c r="C26" s="5">
        <v>17</v>
      </c>
      <c r="D26" s="45"/>
      <c r="E26" s="45"/>
      <c r="F26" s="45">
        <v>2400</v>
      </c>
      <c r="G26" s="45"/>
      <c r="H26" s="45"/>
      <c r="I26" s="45"/>
      <c r="J26" s="45"/>
      <c r="K26" s="45"/>
      <c r="L26" s="45"/>
      <c r="M26" s="45"/>
      <c r="N26" s="45"/>
      <c r="O26" s="45">
        <v>2400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>
        <f t="shared" si="0"/>
        <v>0</v>
      </c>
      <c r="AO26" s="45"/>
      <c r="AP26" s="45"/>
      <c r="AQ26" s="45"/>
      <c r="AR26" s="45"/>
      <c r="AS26" s="45"/>
      <c r="AT26" s="5"/>
      <c r="AU26" s="5"/>
      <c r="AV26" s="5"/>
    </row>
    <row r="27" spans="1:48">
      <c r="A27" s="60">
        <v>38106</v>
      </c>
      <c r="B27" s="5"/>
      <c r="C27" s="5">
        <v>18</v>
      </c>
      <c r="D27" s="45"/>
      <c r="E27" s="45"/>
      <c r="F27" s="45">
        <v>900</v>
      </c>
      <c r="G27" s="45"/>
      <c r="H27" s="45"/>
      <c r="I27" s="45"/>
      <c r="J27" s="45"/>
      <c r="K27" s="45"/>
      <c r="L27" s="45"/>
      <c r="M27" s="45"/>
      <c r="N27" s="45"/>
      <c r="O27" s="45">
        <v>900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>
        <f t="shared" si="0"/>
        <v>0</v>
      </c>
      <c r="AO27" s="45"/>
      <c r="AP27" s="45"/>
      <c r="AQ27" s="45"/>
      <c r="AR27" s="45"/>
      <c r="AS27" s="45"/>
      <c r="AT27" s="5"/>
      <c r="AU27" s="5"/>
      <c r="AV27" s="5"/>
    </row>
    <row r="28" spans="1:48">
      <c r="A28" s="60">
        <v>38108</v>
      </c>
      <c r="B28" s="5"/>
      <c r="C28" s="5">
        <v>19</v>
      </c>
      <c r="D28" s="45"/>
      <c r="E28" s="45"/>
      <c r="F28" s="45">
        <v>600</v>
      </c>
      <c r="G28" s="45"/>
      <c r="H28" s="45"/>
      <c r="I28" s="45"/>
      <c r="J28" s="45"/>
      <c r="K28" s="45"/>
      <c r="L28" s="45"/>
      <c r="M28" s="45"/>
      <c r="N28" s="45"/>
      <c r="O28" s="45">
        <v>600</v>
      </c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>
        <f t="shared" si="0"/>
        <v>0</v>
      </c>
      <c r="AO28" s="45"/>
      <c r="AP28" s="45"/>
      <c r="AQ28" s="45"/>
      <c r="AR28" s="45"/>
      <c r="AS28" s="45"/>
      <c r="AT28" s="5"/>
      <c r="AU28" s="5"/>
      <c r="AV28" s="5"/>
    </row>
    <row r="29" spans="1:48">
      <c r="A29" s="60">
        <v>38109</v>
      </c>
      <c r="B29" s="5"/>
      <c r="C29" s="5">
        <v>20</v>
      </c>
      <c r="D29" s="45"/>
      <c r="E29" s="45"/>
      <c r="F29" s="45">
        <v>600</v>
      </c>
      <c r="G29" s="45"/>
      <c r="H29" s="45"/>
      <c r="I29" s="45"/>
      <c r="J29" s="45"/>
      <c r="K29" s="45"/>
      <c r="L29" s="45"/>
      <c r="M29" s="45"/>
      <c r="N29" s="45"/>
      <c r="O29" s="45">
        <v>600</v>
      </c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>
        <f t="shared" si="0"/>
        <v>0</v>
      </c>
      <c r="AO29" s="45"/>
      <c r="AP29" s="45"/>
      <c r="AQ29" s="45"/>
      <c r="AR29" s="45"/>
      <c r="AS29" s="45"/>
      <c r="AT29" s="5"/>
      <c r="AU29" s="5"/>
      <c r="AV29" s="5"/>
    </row>
    <row r="30" spans="1:48">
      <c r="A30" s="60">
        <v>38110</v>
      </c>
      <c r="B30" s="5"/>
      <c r="C30" s="5">
        <v>21</v>
      </c>
      <c r="D30" s="45"/>
      <c r="E30" s="45"/>
      <c r="F30" s="45">
        <v>600</v>
      </c>
      <c r="G30" s="45"/>
      <c r="H30" s="45"/>
      <c r="I30" s="45"/>
      <c r="J30" s="45"/>
      <c r="K30" s="45"/>
      <c r="L30" s="45"/>
      <c r="M30" s="45"/>
      <c r="N30" s="45"/>
      <c r="O30" s="45">
        <v>600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>
        <f t="shared" si="0"/>
        <v>0</v>
      </c>
      <c r="AO30" s="45"/>
      <c r="AP30" s="45"/>
      <c r="AQ30" s="45"/>
      <c r="AR30" s="45"/>
      <c r="AS30" s="45"/>
      <c r="AT30" s="5"/>
      <c r="AU30" s="5"/>
      <c r="AV30" s="5"/>
    </row>
    <row r="31" spans="1:48">
      <c r="A31" s="60">
        <v>38111</v>
      </c>
      <c r="B31" s="5"/>
      <c r="C31" s="5">
        <v>22</v>
      </c>
      <c r="D31" s="45"/>
      <c r="E31" s="45"/>
      <c r="F31" s="45">
        <v>600</v>
      </c>
      <c r="G31" s="45"/>
      <c r="H31" s="45"/>
      <c r="I31" s="45"/>
      <c r="J31" s="45"/>
      <c r="K31" s="45"/>
      <c r="L31" s="45"/>
      <c r="M31" s="45"/>
      <c r="N31" s="45"/>
      <c r="O31" s="45">
        <v>600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>
        <f t="shared" si="0"/>
        <v>0</v>
      </c>
      <c r="AO31" s="45"/>
      <c r="AP31" s="45"/>
      <c r="AQ31" s="45"/>
      <c r="AR31" s="45"/>
      <c r="AS31" s="45"/>
      <c r="AT31" s="5"/>
      <c r="AU31" s="5"/>
      <c r="AV31" s="5"/>
    </row>
    <row r="32" spans="1:48">
      <c r="A32" s="60">
        <v>38112</v>
      </c>
      <c r="B32" s="5"/>
      <c r="C32" s="5">
        <v>23</v>
      </c>
      <c r="D32" s="45"/>
      <c r="E32" s="45"/>
      <c r="F32" s="45">
        <v>1200</v>
      </c>
      <c r="G32" s="45"/>
      <c r="H32" s="45"/>
      <c r="I32" s="45"/>
      <c r="J32" s="45"/>
      <c r="K32" s="45"/>
      <c r="L32" s="45"/>
      <c r="M32" s="45"/>
      <c r="N32" s="45"/>
      <c r="O32" s="45">
        <v>1200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>
        <f t="shared" si="0"/>
        <v>0</v>
      </c>
      <c r="AO32" s="45"/>
      <c r="AP32" s="45"/>
      <c r="AQ32" s="45"/>
      <c r="AR32" s="45"/>
      <c r="AS32" s="45"/>
      <c r="AT32" s="5"/>
      <c r="AU32" s="5"/>
      <c r="AV32" s="5"/>
    </row>
    <row r="33" spans="1:48">
      <c r="A33" s="60">
        <v>38113</v>
      </c>
      <c r="B33" s="5"/>
      <c r="C33" s="5">
        <v>24</v>
      </c>
      <c r="D33" s="45"/>
      <c r="E33" s="45"/>
      <c r="F33" s="45">
        <v>300</v>
      </c>
      <c r="G33" s="45"/>
      <c r="H33" s="45"/>
      <c r="I33" s="45"/>
      <c r="J33" s="45"/>
      <c r="K33" s="45"/>
      <c r="L33" s="45"/>
      <c r="M33" s="45"/>
      <c r="N33" s="45"/>
      <c r="O33" s="45">
        <v>300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>
        <f t="shared" si="0"/>
        <v>0</v>
      </c>
      <c r="AO33" s="45"/>
      <c r="AP33" s="45"/>
      <c r="AQ33" s="45"/>
      <c r="AR33" s="45"/>
      <c r="AS33" s="45"/>
      <c r="AT33" s="5"/>
      <c r="AU33" s="5"/>
      <c r="AV33" s="5"/>
    </row>
    <row r="34" spans="1:48">
      <c r="A34" s="60">
        <v>38114</v>
      </c>
      <c r="B34" s="5"/>
      <c r="C34" s="5">
        <v>25</v>
      </c>
      <c r="D34" s="45"/>
      <c r="E34" s="45"/>
      <c r="F34" s="45">
        <v>300</v>
      </c>
      <c r="G34" s="45"/>
      <c r="H34" s="45"/>
      <c r="I34" s="45"/>
      <c r="J34" s="45"/>
      <c r="K34" s="45"/>
      <c r="L34" s="45"/>
      <c r="M34" s="45"/>
      <c r="N34" s="45"/>
      <c r="O34" s="45">
        <v>300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>
        <f t="shared" si="0"/>
        <v>0</v>
      </c>
      <c r="AO34" s="45"/>
      <c r="AP34" s="45"/>
      <c r="AQ34" s="45"/>
      <c r="AR34" s="45"/>
      <c r="AS34" s="45"/>
      <c r="AT34" s="5"/>
      <c r="AU34" s="5"/>
      <c r="AV34" s="5"/>
    </row>
    <row r="35" spans="1:48">
      <c r="A35" s="60">
        <v>38115</v>
      </c>
      <c r="B35" s="5"/>
      <c r="C35" s="5">
        <v>26</v>
      </c>
      <c r="D35" s="45"/>
      <c r="E35" s="45"/>
      <c r="F35" s="45">
        <v>300</v>
      </c>
      <c r="G35" s="45"/>
      <c r="H35" s="45"/>
      <c r="I35" s="45"/>
      <c r="J35" s="45"/>
      <c r="K35" s="45"/>
      <c r="L35" s="45"/>
      <c r="M35" s="45"/>
      <c r="N35" s="45"/>
      <c r="O35" s="45">
        <v>300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>
        <f t="shared" si="0"/>
        <v>0</v>
      </c>
      <c r="AO35" s="45"/>
      <c r="AP35" s="45"/>
      <c r="AQ35" s="45"/>
      <c r="AR35" s="45"/>
      <c r="AS35" s="45"/>
      <c r="AT35" s="5"/>
      <c r="AU35" s="5"/>
      <c r="AV35" s="5"/>
    </row>
    <row r="36" spans="1:48">
      <c r="A36" s="60">
        <v>38116</v>
      </c>
      <c r="B36" s="5"/>
      <c r="C36" s="5">
        <v>27</v>
      </c>
      <c r="D36" s="45"/>
      <c r="E36" s="45"/>
      <c r="F36" s="45">
        <v>300</v>
      </c>
      <c r="G36" s="45"/>
      <c r="H36" s="45"/>
      <c r="I36" s="45"/>
      <c r="J36" s="45"/>
      <c r="K36" s="45"/>
      <c r="L36" s="45"/>
      <c r="M36" s="45"/>
      <c r="N36" s="45"/>
      <c r="O36" s="45">
        <v>300</v>
      </c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>
        <f t="shared" si="0"/>
        <v>0</v>
      </c>
      <c r="AO36" s="45"/>
      <c r="AP36" s="45"/>
      <c r="AQ36" s="45"/>
      <c r="AR36" s="45"/>
      <c r="AS36" s="45"/>
      <c r="AT36" s="5"/>
      <c r="AU36" s="5"/>
      <c r="AV36" s="5"/>
    </row>
    <row r="37" spans="1:48">
      <c r="A37" s="60">
        <v>38117</v>
      </c>
      <c r="B37" s="5"/>
      <c r="C37" s="5">
        <v>28</v>
      </c>
      <c r="D37" s="45"/>
      <c r="E37" s="45"/>
      <c r="F37" s="45">
        <v>600</v>
      </c>
      <c r="G37" s="45"/>
      <c r="H37" s="45"/>
      <c r="I37" s="45"/>
      <c r="J37" s="45"/>
      <c r="K37" s="45"/>
      <c r="L37" s="45"/>
      <c r="M37" s="45"/>
      <c r="N37" s="45"/>
      <c r="O37" s="45">
        <v>600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>
        <f t="shared" si="0"/>
        <v>0</v>
      </c>
      <c r="AO37" s="45"/>
      <c r="AP37" s="45"/>
      <c r="AQ37" s="45"/>
      <c r="AR37" s="45"/>
      <c r="AS37" s="45"/>
      <c r="AT37" s="5"/>
      <c r="AU37" s="5"/>
      <c r="AV37" s="5"/>
    </row>
    <row r="38" spans="1:48">
      <c r="A38" s="60">
        <v>38118</v>
      </c>
      <c r="B38" s="5"/>
      <c r="C38" s="5">
        <v>29</v>
      </c>
      <c r="D38" s="45"/>
      <c r="E38" s="45"/>
      <c r="F38" s="45">
        <v>900</v>
      </c>
      <c r="G38" s="45"/>
      <c r="H38" s="45"/>
      <c r="I38" s="45"/>
      <c r="J38" s="45"/>
      <c r="K38" s="45"/>
      <c r="L38" s="45"/>
      <c r="M38" s="45"/>
      <c r="N38" s="45"/>
      <c r="O38" s="45">
        <v>900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>
        <f t="shared" si="0"/>
        <v>0</v>
      </c>
      <c r="AO38" s="45"/>
      <c r="AP38" s="45"/>
      <c r="AQ38" s="45"/>
      <c r="AR38" s="45"/>
      <c r="AS38" s="45"/>
      <c r="AT38" s="5"/>
      <c r="AU38" s="5"/>
      <c r="AV38" s="5"/>
    </row>
    <row r="39" spans="1:48">
      <c r="A39" s="60">
        <v>38119</v>
      </c>
      <c r="B39" s="5"/>
      <c r="C39" s="5">
        <v>30</v>
      </c>
      <c r="D39" s="45"/>
      <c r="E39" s="45"/>
      <c r="F39" s="45">
        <v>300</v>
      </c>
      <c r="G39" s="45"/>
      <c r="H39" s="45"/>
      <c r="I39" s="45"/>
      <c r="J39" s="45"/>
      <c r="K39" s="45"/>
      <c r="L39" s="45"/>
      <c r="M39" s="45"/>
      <c r="N39" s="45"/>
      <c r="O39" s="45">
        <v>300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>
        <f t="shared" si="0"/>
        <v>0</v>
      </c>
      <c r="AO39" s="45"/>
      <c r="AP39" s="45"/>
      <c r="AQ39" s="45"/>
      <c r="AR39" s="45"/>
      <c r="AS39" s="45"/>
      <c r="AT39" s="5"/>
      <c r="AU39" s="5"/>
      <c r="AV39" s="5"/>
    </row>
    <row r="40" spans="1:48">
      <c r="A40" s="60">
        <v>38120</v>
      </c>
      <c r="B40" s="5"/>
      <c r="C40" s="5">
        <v>31</v>
      </c>
      <c r="D40" s="45"/>
      <c r="E40" s="45"/>
      <c r="F40" s="45">
        <v>600</v>
      </c>
      <c r="G40" s="45"/>
      <c r="H40" s="45"/>
      <c r="I40" s="45"/>
      <c r="J40" s="45"/>
      <c r="K40" s="45"/>
      <c r="L40" s="45"/>
      <c r="M40" s="45"/>
      <c r="N40" s="45"/>
      <c r="O40" s="45">
        <v>600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>
        <f t="shared" si="0"/>
        <v>0</v>
      </c>
      <c r="AO40" s="45"/>
      <c r="AP40" s="45"/>
      <c r="AQ40" s="45"/>
      <c r="AR40" s="45"/>
      <c r="AS40" s="45"/>
      <c r="AT40" s="5"/>
      <c r="AU40" s="5"/>
      <c r="AV40" s="5"/>
    </row>
    <row r="41" spans="1:48">
      <c r="A41" s="60">
        <v>38121</v>
      </c>
      <c r="B41" s="5"/>
      <c r="C41" s="5">
        <v>32</v>
      </c>
      <c r="D41" s="45"/>
      <c r="E41" s="45"/>
      <c r="F41" s="45">
        <v>600</v>
      </c>
      <c r="G41" s="45"/>
      <c r="H41" s="45"/>
      <c r="I41" s="45"/>
      <c r="J41" s="45"/>
      <c r="K41" s="45"/>
      <c r="L41" s="45"/>
      <c r="M41" s="45"/>
      <c r="N41" s="45"/>
      <c r="O41" s="45">
        <v>600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>
        <f t="shared" si="0"/>
        <v>0</v>
      </c>
      <c r="AO41" s="45"/>
      <c r="AP41" s="45"/>
      <c r="AQ41" s="45"/>
      <c r="AR41" s="45"/>
      <c r="AS41" s="45"/>
      <c r="AT41" s="5"/>
      <c r="AU41" s="5"/>
      <c r="AV41" s="5"/>
    </row>
    <row r="42" spans="1:48">
      <c r="A42" s="60">
        <v>38121</v>
      </c>
      <c r="B42" s="5" t="s">
        <v>88</v>
      </c>
      <c r="C42" s="5">
        <v>33</v>
      </c>
      <c r="D42" s="45"/>
      <c r="E42" s="45"/>
      <c r="F42" s="45"/>
      <c r="G42" s="45">
        <v>663</v>
      </c>
      <c r="H42" s="45"/>
      <c r="I42" s="45"/>
      <c r="J42" s="45">
        <v>663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>
        <f t="shared" si="0"/>
        <v>0</v>
      </c>
      <c r="AO42" s="45"/>
      <c r="AP42" s="45"/>
      <c r="AQ42" s="45"/>
      <c r="AR42" s="45"/>
      <c r="AS42" s="45"/>
      <c r="AT42" s="5"/>
      <c r="AU42" s="5"/>
      <c r="AV42" s="5"/>
    </row>
    <row r="43" spans="1:48">
      <c r="A43" s="60">
        <v>38121</v>
      </c>
      <c r="B43" s="5" t="s">
        <v>88</v>
      </c>
      <c r="C43" s="5">
        <v>34</v>
      </c>
      <c r="D43" s="45"/>
      <c r="E43" s="45"/>
      <c r="F43" s="45"/>
      <c r="G43" s="45">
        <v>217</v>
      </c>
      <c r="H43" s="45"/>
      <c r="I43" s="45"/>
      <c r="J43" s="45">
        <v>217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>
        <f t="shared" si="0"/>
        <v>0</v>
      </c>
      <c r="AO43" s="45"/>
      <c r="AP43" s="45"/>
      <c r="AQ43" s="45"/>
      <c r="AR43" s="45"/>
      <c r="AS43" s="45"/>
      <c r="AT43" s="5"/>
      <c r="AU43" s="5"/>
      <c r="AV43" s="5"/>
    </row>
    <row r="44" spans="1:48">
      <c r="A44" s="60">
        <v>38121</v>
      </c>
      <c r="B44" s="5" t="s">
        <v>95</v>
      </c>
      <c r="C44" s="5">
        <v>35</v>
      </c>
      <c r="D44" s="45"/>
      <c r="E44" s="45"/>
      <c r="F44" s="45"/>
      <c r="G44" s="45">
        <v>1151</v>
      </c>
      <c r="H44" s="45"/>
      <c r="I44" s="45"/>
      <c r="J44" s="45">
        <v>1151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>
        <f t="shared" si="0"/>
        <v>0</v>
      </c>
      <c r="AO44" s="45"/>
      <c r="AP44" s="45"/>
      <c r="AQ44" s="45"/>
      <c r="AR44" s="45"/>
      <c r="AS44" s="45"/>
      <c r="AT44" s="5"/>
      <c r="AU44" s="5"/>
      <c r="AV44" s="5"/>
    </row>
    <row r="45" spans="1:48">
      <c r="A45" s="60">
        <v>38122</v>
      </c>
      <c r="B45" s="5" t="s">
        <v>93</v>
      </c>
      <c r="C45" s="5">
        <v>36</v>
      </c>
      <c r="D45" s="45"/>
      <c r="E45" s="45"/>
      <c r="F45" s="45">
        <v>300</v>
      </c>
      <c r="G45" s="45"/>
      <c r="H45" s="45"/>
      <c r="I45" s="45"/>
      <c r="J45" s="45"/>
      <c r="K45" s="45"/>
      <c r="L45" s="45"/>
      <c r="M45" s="45"/>
      <c r="N45" s="45"/>
      <c r="O45" s="45">
        <v>300</v>
      </c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>
        <f t="shared" si="0"/>
        <v>0</v>
      </c>
      <c r="AO45" s="45"/>
      <c r="AP45" s="45"/>
      <c r="AQ45" s="45"/>
      <c r="AR45" s="45"/>
      <c r="AS45" s="45"/>
      <c r="AT45" s="5"/>
      <c r="AU45" s="5"/>
      <c r="AV45" s="5"/>
    </row>
    <row r="46" spans="1:48">
      <c r="A46" s="60">
        <v>38125</v>
      </c>
      <c r="B46" s="5"/>
      <c r="C46" s="5">
        <v>37</v>
      </c>
      <c r="D46" s="45"/>
      <c r="E46" s="45"/>
      <c r="F46" s="45">
        <v>900</v>
      </c>
      <c r="G46" s="45"/>
      <c r="H46" s="45"/>
      <c r="I46" s="45"/>
      <c r="J46" s="45"/>
      <c r="K46" s="45"/>
      <c r="L46" s="45"/>
      <c r="M46" s="45"/>
      <c r="N46" s="45"/>
      <c r="O46" s="45">
        <v>900</v>
      </c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>
        <f t="shared" si="0"/>
        <v>0</v>
      </c>
      <c r="AO46" s="45"/>
      <c r="AP46" s="45"/>
      <c r="AQ46" s="45"/>
      <c r="AR46" s="45"/>
      <c r="AS46" s="45"/>
      <c r="AT46" s="5"/>
      <c r="AU46" s="5"/>
      <c r="AV46" s="5"/>
    </row>
    <row r="47" spans="1:48">
      <c r="A47" s="60">
        <v>38126</v>
      </c>
      <c r="B47" s="5"/>
      <c r="C47" s="5">
        <v>38</v>
      </c>
      <c r="D47" s="45"/>
      <c r="E47" s="45"/>
      <c r="F47" s="45">
        <v>900</v>
      </c>
      <c r="G47" s="45"/>
      <c r="H47" s="45"/>
      <c r="I47" s="45"/>
      <c r="J47" s="45"/>
      <c r="K47" s="45"/>
      <c r="L47" s="45"/>
      <c r="M47" s="45"/>
      <c r="N47" s="45"/>
      <c r="O47" s="45">
        <v>900</v>
      </c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>
        <f t="shared" si="0"/>
        <v>0</v>
      </c>
      <c r="AO47" s="45"/>
      <c r="AP47" s="45"/>
      <c r="AQ47" s="45"/>
      <c r="AR47" s="45"/>
      <c r="AS47" s="45"/>
      <c r="AT47" s="5"/>
      <c r="AU47" s="5"/>
      <c r="AV47" s="5"/>
    </row>
    <row r="48" spans="1:48">
      <c r="A48" s="60">
        <v>38127</v>
      </c>
      <c r="B48" s="5"/>
      <c r="C48" s="5">
        <v>39</v>
      </c>
      <c r="D48" s="45"/>
      <c r="E48" s="45"/>
      <c r="F48" s="45">
        <v>600</v>
      </c>
      <c r="G48" s="45"/>
      <c r="H48" s="45"/>
      <c r="I48" s="45"/>
      <c r="J48" s="45"/>
      <c r="K48" s="45"/>
      <c r="L48" s="45"/>
      <c r="M48" s="45"/>
      <c r="N48" s="45"/>
      <c r="O48" s="45">
        <v>600</v>
      </c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>
        <f t="shared" si="0"/>
        <v>0</v>
      </c>
      <c r="AO48" s="45"/>
      <c r="AP48" s="45"/>
      <c r="AQ48" s="45"/>
      <c r="AR48" s="45"/>
      <c r="AS48" s="45"/>
      <c r="AT48" s="5"/>
      <c r="AU48" s="5"/>
      <c r="AV48" s="5"/>
    </row>
    <row r="49" spans="1:48">
      <c r="A49" s="60">
        <v>38128</v>
      </c>
      <c r="B49" s="5"/>
      <c r="C49" s="5">
        <v>40</v>
      </c>
      <c r="D49" s="45"/>
      <c r="E49" s="45"/>
      <c r="F49" s="45">
        <v>300</v>
      </c>
      <c r="G49" s="45"/>
      <c r="H49" s="45"/>
      <c r="I49" s="45"/>
      <c r="J49" s="45"/>
      <c r="K49" s="45"/>
      <c r="L49" s="45"/>
      <c r="M49" s="45"/>
      <c r="N49" s="45"/>
      <c r="O49" s="45">
        <v>300</v>
      </c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>
        <f t="shared" si="0"/>
        <v>0</v>
      </c>
      <c r="AO49" s="45"/>
      <c r="AP49" s="45"/>
      <c r="AQ49" s="45"/>
      <c r="AR49" s="45"/>
      <c r="AS49" s="45"/>
      <c r="AT49" s="5"/>
      <c r="AU49" s="5"/>
      <c r="AV49" s="5"/>
    </row>
    <row r="50" spans="1:48">
      <c r="A50" s="60">
        <v>38130</v>
      </c>
      <c r="B50" s="5"/>
      <c r="C50" s="5">
        <v>41</v>
      </c>
      <c r="D50" s="45"/>
      <c r="E50" s="45"/>
      <c r="F50" s="45">
        <v>300</v>
      </c>
      <c r="G50" s="45"/>
      <c r="H50" s="45"/>
      <c r="I50" s="45"/>
      <c r="J50" s="45"/>
      <c r="K50" s="45"/>
      <c r="L50" s="45"/>
      <c r="M50" s="45"/>
      <c r="N50" s="45"/>
      <c r="O50" s="45">
        <v>300</v>
      </c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>
        <f t="shared" si="0"/>
        <v>0</v>
      </c>
      <c r="AO50" s="45"/>
      <c r="AP50" s="45"/>
      <c r="AQ50" s="45"/>
      <c r="AR50" s="45"/>
      <c r="AS50" s="45"/>
      <c r="AT50" s="5"/>
      <c r="AU50" s="5"/>
      <c r="AV50" s="5"/>
    </row>
    <row r="51" spans="1:48">
      <c r="A51" s="60">
        <v>38131</v>
      </c>
      <c r="B51" s="5"/>
      <c r="C51" s="5">
        <v>42</v>
      </c>
      <c r="D51" s="45"/>
      <c r="E51" s="45"/>
      <c r="F51" s="45">
        <v>300</v>
      </c>
      <c r="G51" s="45"/>
      <c r="H51" s="45"/>
      <c r="I51" s="45"/>
      <c r="J51" s="45"/>
      <c r="K51" s="45"/>
      <c r="L51" s="45"/>
      <c r="M51" s="45"/>
      <c r="N51" s="45"/>
      <c r="O51" s="45">
        <v>300</v>
      </c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>
        <f t="shared" si="0"/>
        <v>0</v>
      </c>
      <c r="AO51" s="45"/>
      <c r="AP51" s="45"/>
      <c r="AQ51" s="45"/>
      <c r="AR51" s="45"/>
      <c r="AS51" s="45"/>
      <c r="AT51" s="5"/>
      <c r="AU51" s="5"/>
      <c r="AV51" s="5"/>
    </row>
    <row r="52" spans="1:48">
      <c r="A52" s="60">
        <v>38132</v>
      </c>
      <c r="B52" s="5"/>
      <c r="C52" s="5">
        <v>43</v>
      </c>
      <c r="D52" s="45"/>
      <c r="E52" s="45"/>
      <c r="F52" s="45">
        <v>300</v>
      </c>
      <c r="G52" s="45"/>
      <c r="H52" s="45"/>
      <c r="I52" s="45"/>
      <c r="J52" s="45"/>
      <c r="K52" s="45"/>
      <c r="L52" s="45"/>
      <c r="M52" s="45"/>
      <c r="N52" s="45"/>
      <c r="O52" s="45">
        <v>300</v>
      </c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>
        <f t="shared" si="0"/>
        <v>0</v>
      </c>
      <c r="AO52" s="45"/>
      <c r="AP52" s="45"/>
      <c r="AQ52" s="45"/>
      <c r="AR52" s="45"/>
      <c r="AS52" s="45"/>
      <c r="AT52" s="5"/>
      <c r="AU52" s="5"/>
      <c r="AV52" s="5"/>
    </row>
    <row r="53" spans="1:48">
      <c r="A53" s="60">
        <v>38133</v>
      </c>
      <c r="B53" s="5"/>
      <c r="C53" s="5">
        <v>44</v>
      </c>
      <c r="D53" s="45"/>
      <c r="E53" s="45"/>
      <c r="F53" s="45">
        <v>1200</v>
      </c>
      <c r="G53" s="45"/>
      <c r="H53" s="45"/>
      <c r="I53" s="45"/>
      <c r="J53" s="45"/>
      <c r="K53" s="45"/>
      <c r="L53" s="45"/>
      <c r="M53" s="45"/>
      <c r="N53" s="45"/>
      <c r="O53" s="45">
        <v>1200</v>
      </c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>
        <f t="shared" si="0"/>
        <v>0</v>
      </c>
      <c r="AO53" s="45"/>
      <c r="AP53" s="45"/>
      <c r="AQ53" s="45"/>
      <c r="AR53" s="45"/>
      <c r="AS53" s="45"/>
      <c r="AT53" s="5"/>
      <c r="AU53" s="5"/>
      <c r="AV53" s="5"/>
    </row>
    <row r="54" spans="1:48">
      <c r="A54" s="60">
        <v>38135</v>
      </c>
      <c r="B54" s="5"/>
      <c r="C54" s="5">
        <v>45</v>
      </c>
      <c r="D54" s="45"/>
      <c r="E54" s="45"/>
      <c r="F54" s="45">
        <v>300</v>
      </c>
      <c r="G54" s="45"/>
      <c r="H54" s="45"/>
      <c r="I54" s="45"/>
      <c r="J54" s="45"/>
      <c r="K54" s="45"/>
      <c r="L54" s="45"/>
      <c r="M54" s="45"/>
      <c r="N54" s="45"/>
      <c r="O54" s="45">
        <v>300</v>
      </c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>
        <f t="shared" si="0"/>
        <v>0</v>
      </c>
      <c r="AO54" s="45"/>
      <c r="AP54" s="45"/>
      <c r="AQ54" s="45"/>
      <c r="AR54" s="45"/>
      <c r="AS54" s="45"/>
      <c r="AT54" s="5"/>
      <c r="AU54" s="5"/>
      <c r="AV54" s="5"/>
    </row>
    <row r="55" spans="1:48">
      <c r="A55" s="60">
        <v>38135</v>
      </c>
      <c r="B55" s="5" t="s">
        <v>96</v>
      </c>
      <c r="C55" s="5">
        <v>46</v>
      </c>
      <c r="D55" s="45"/>
      <c r="E55" s="45"/>
      <c r="F55" s="45"/>
      <c r="G55" s="45">
        <v>6</v>
      </c>
      <c r="H55" s="45"/>
      <c r="I55" s="45"/>
      <c r="J55" s="45">
        <v>6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>
        <f t="shared" si="0"/>
        <v>0</v>
      </c>
      <c r="AO55" s="45"/>
      <c r="AP55" s="45"/>
      <c r="AQ55" s="45"/>
      <c r="AR55" s="45"/>
      <c r="AS55" s="45"/>
      <c r="AT55" s="5"/>
      <c r="AU55" s="5"/>
      <c r="AV55" s="5"/>
    </row>
    <row r="56" spans="1:48">
      <c r="A56" s="60">
        <v>38135</v>
      </c>
      <c r="B56" s="5" t="s">
        <v>97</v>
      </c>
      <c r="C56" s="5">
        <v>47</v>
      </c>
      <c r="D56" s="45"/>
      <c r="E56" s="45"/>
      <c r="F56" s="45">
        <v>300</v>
      </c>
      <c r="G56" s="45"/>
      <c r="H56" s="45"/>
      <c r="I56" s="45"/>
      <c r="J56" s="45"/>
      <c r="K56" s="45"/>
      <c r="L56" s="45"/>
      <c r="M56" s="45"/>
      <c r="N56" s="45"/>
      <c r="O56" s="45">
        <v>300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>
        <f t="shared" si="0"/>
        <v>0</v>
      </c>
      <c r="AO56" s="45"/>
      <c r="AP56" s="45"/>
      <c r="AQ56" s="45"/>
      <c r="AR56" s="45"/>
      <c r="AS56" s="45"/>
      <c r="AT56" s="5"/>
      <c r="AU56" s="5"/>
      <c r="AV56" s="5"/>
    </row>
    <row r="57" spans="1:48">
      <c r="A57" s="60">
        <v>38139</v>
      </c>
      <c r="B57" s="5"/>
      <c r="C57" s="5">
        <v>48</v>
      </c>
      <c r="D57" s="45"/>
      <c r="E57" s="45"/>
      <c r="F57" s="45">
        <v>300</v>
      </c>
      <c r="G57" s="45"/>
      <c r="H57" s="45"/>
      <c r="I57" s="45"/>
      <c r="J57" s="45"/>
      <c r="K57" s="45"/>
      <c r="L57" s="45"/>
      <c r="M57" s="45"/>
      <c r="N57" s="45"/>
      <c r="O57" s="45">
        <v>300</v>
      </c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>
        <f t="shared" si="0"/>
        <v>0</v>
      </c>
      <c r="AO57" s="45"/>
      <c r="AP57" s="45"/>
      <c r="AQ57" s="45"/>
      <c r="AR57" s="45"/>
      <c r="AS57" s="45"/>
      <c r="AT57" s="5"/>
      <c r="AU57" s="5"/>
      <c r="AV57" s="5"/>
    </row>
    <row r="58" spans="1:48">
      <c r="A58" s="60">
        <v>38140</v>
      </c>
      <c r="B58" s="5"/>
      <c r="C58" s="5">
        <v>49</v>
      </c>
      <c r="D58" s="45"/>
      <c r="E58" s="45"/>
      <c r="F58" s="45">
        <v>300</v>
      </c>
      <c r="G58" s="45"/>
      <c r="H58" s="45"/>
      <c r="I58" s="45"/>
      <c r="J58" s="45"/>
      <c r="K58" s="45"/>
      <c r="L58" s="45"/>
      <c r="M58" s="45"/>
      <c r="N58" s="45"/>
      <c r="O58" s="45">
        <v>300</v>
      </c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>
        <f t="shared" si="0"/>
        <v>0</v>
      </c>
      <c r="AO58" s="45"/>
      <c r="AP58" s="45"/>
      <c r="AQ58" s="45"/>
      <c r="AR58" s="45"/>
      <c r="AS58" s="45"/>
      <c r="AT58" s="5"/>
      <c r="AU58" s="5"/>
      <c r="AV58" s="5"/>
    </row>
    <row r="59" spans="1:48">
      <c r="A59" s="60">
        <v>38144</v>
      </c>
      <c r="B59" s="5" t="s">
        <v>98</v>
      </c>
      <c r="C59" s="5">
        <v>50</v>
      </c>
      <c r="D59" s="45"/>
      <c r="E59" s="45"/>
      <c r="F59" s="45"/>
      <c r="G59" s="45">
        <v>1364</v>
      </c>
      <c r="H59" s="45"/>
      <c r="I59" s="45"/>
      <c r="J59" s="45">
        <v>682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>
        <v>682</v>
      </c>
      <c r="AK59" s="45"/>
      <c r="AL59" s="45"/>
      <c r="AM59" s="45"/>
      <c r="AN59" s="45">
        <f t="shared" si="0"/>
        <v>0</v>
      </c>
      <c r="AO59" s="45"/>
      <c r="AP59" s="45"/>
      <c r="AQ59" s="45"/>
      <c r="AR59" s="45"/>
      <c r="AS59" s="45"/>
      <c r="AT59" s="5"/>
      <c r="AU59" s="5"/>
      <c r="AV59" s="5"/>
    </row>
    <row r="60" spans="1:48">
      <c r="A60" s="60">
        <v>38144</v>
      </c>
      <c r="B60" s="5" t="s">
        <v>88</v>
      </c>
      <c r="C60" s="5">
        <v>51</v>
      </c>
      <c r="D60" s="45"/>
      <c r="E60" s="45"/>
      <c r="F60" s="45"/>
      <c r="G60" s="45">
        <v>267</v>
      </c>
      <c r="H60" s="45"/>
      <c r="I60" s="45"/>
      <c r="J60" s="45">
        <v>50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>
        <v>217</v>
      </c>
      <c r="AK60" s="45"/>
      <c r="AL60" s="45"/>
      <c r="AM60" s="45"/>
      <c r="AN60" s="45">
        <f t="shared" si="0"/>
        <v>0</v>
      </c>
      <c r="AO60" s="45"/>
      <c r="AP60" s="45"/>
      <c r="AQ60" s="45"/>
      <c r="AR60" s="45"/>
      <c r="AS60" s="45"/>
      <c r="AT60" s="5"/>
      <c r="AU60" s="5"/>
      <c r="AV60" s="5"/>
    </row>
    <row r="61" spans="1:48">
      <c r="A61" s="60">
        <v>38144</v>
      </c>
      <c r="B61" s="5" t="s">
        <v>88</v>
      </c>
      <c r="C61" s="5">
        <v>52</v>
      </c>
      <c r="D61" s="45"/>
      <c r="E61" s="45"/>
      <c r="F61" s="45"/>
      <c r="G61" s="45">
        <v>713</v>
      </c>
      <c r="H61" s="45"/>
      <c r="I61" s="45"/>
      <c r="J61" s="45">
        <v>713</v>
      </c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>
        <f t="shared" si="0"/>
        <v>0</v>
      </c>
      <c r="AO61" s="45"/>
      <c r="AP61" s="45"/>
      <c r="AQ61" s="45"/>
      <c r="AR61" s="45"/>
      <c r="AS61" s="45"/>
      <c r="AT61" s="5"/>
      <c r="AU61" s="5"/>
      <c r="AV61" s="5"/>
    </row>
    <row r="62" spans="1:48">
      <c r="A62" s="60">
        <v>38144</v>
      </c>
      <c r="B62" s="5" t="s">
        <v>99</v>
      </c>
      <c r="C62" s="5">
        <v>53</v>
      </c>
      <c r="D62" s="45"/>
      <c r="E62" s="45"/>
      <c r="F62" s="45"/>
      <c r="G62" s="45">
        <v>2500</v>
      </c>
      <c r="H62" s="45"/>
      <c r="I62" s="45"/>
      <c r="J62" s="45">
        <v>2500</v>
      </c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>
        <f t="shared" si="0"/>
        <v>0</v>
      </c>
      <c r="AO62" s="45"/>
      <c r="AP62" s="45"/>
      <c r="AQ62" s="45"/>
      <c r="AR62" s="45"/>
      <c r="AS62" s="45"/>
      <c r="AT62" s="5"/>
      <c r="AU62" s="5"/>
      <c r="AV62" s="5"/>
    </row>
    <row r="63" spans="1:48">
      <c r="A63" s="60">
        <v>38144</v>
      </c>
      <c r="B63" s="5" t="s">
        <v>100</v>
      </c>
      <c r="C63" s="5">
        <v>54</v>
      </c>
      <c r="D63" s="45"/>
      <c r="E63" s="45"/>
      <c r="F63" s="45"/>
      <c r="G63" s="45">
        <v>1583</v>
      </c>
      <c r="H63" s="45"/>
      <c r="I63" s="45"/>
      <c r="J63" s="45">
        <v>335.5</v>
      </c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>
        <v>912</v>
      </c>
      <c r="AI63" s="45"/>
      <c r="AJ63" s="45">
        <v>335.5</v>
      </c>
      <c r="AK63" s="45"/>
      <c r="AL63" s="45"/>
      <c r="AM63" s="45"/>
      <c r="AN63" s="45">
        <f t="shared" si="0"/>
        <v>0</v>
      </c>
      <c r="AO63" s="45"/>
      <c r="AP63" s="45"/>
      <c r="AQ63" s="45"/>
      <c r="AR63" s="45"/>
      <c r="AS63" s="45"/>
      <c r="AT63" s="5"/>
      <c r="AU63" s="5"/>
      <c r="AV63" s="5"/>
    </row>
    <row r="64" spans="1:48">
      <c r="A64" s="60">
        <v>38149</v>
      </c>
      <c r="B64" s="5" t="s">
        <v>101</v>
      </c>
      <c r="C64" s="5">
        <v>55</v>
      </c>
      <c r="D64" s="45"/>
      <c r="E64" s="45"/>
      <c r="F64" s="45">
        <v>300</v>
      </c>
      <c r="G64" s="45"/>
      <c r="H64" s="45"/>
      <c r="I64" s="45"/>
      <c r="J64" s="45"/>
      <c r="K64" s="45"/>
      <c r="L64" s="45"/>
      <c r="M64" s="45"/>
      <c r="N64" s="45"/>
      <c r="O64" s="45">
        <v>300</v>
      </c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>
        <f t="shared" si="0"/>
        <v>0</v>
      </c>
      <c r="AO64" s="45"/>
      <c r="AP64" s="45"/>
      <c r="AQ64" s="45"/>
      <c r="AR64" s="45"/>
      <c r="AS64" s="45"/>
      <c r="AT64" s="5"/>
      <c r="AU64" s="5"/>
      <c r="AV64" s="5"/>
    </row>
    <row r="65" spans="1:48">
      <c r="A65" s="60">
        <v>38153</v>
      </c>
      <c r="B65" s="5" t="s">
        <v>102</v>
      </c>
      <c r="C65" s="5">
        <v>56</v>
      </c>
      <c r="D65" s="45"/>
      <c r="E65" s="45"/>
      <c r="F65" s="45">
        <v>300</v>
      </c>
      <c r="G65" s="45"/>
      <c r="H65" s="45"/>
      <c r="I65" s="45"/>
      <c r="J65" s="45"/>
      <c r="K65" s="45"/>
      <c r="L65" s="45"/>
      <c r="M65" s="45"/>
      <c r="N65" s="45"/>
      <c r="O65" s="45">
        <v>300</v>
      </c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>
        <f t="shared" si="0"/>
        <v>0</v>
      </c>
      <c r="AO65" s="45"/>
      <c r="AP65" s="45"/>
      <c r="AQ65" s="45"/>
      <c r="AR65" s="45"/>
      <c r="AS65" s="45"/>
      <c r="AT65" s="5"/>
      <c r="AU65" s="5"/>
      <c r="AV65" s="5"/>
    </row>
    <row r="66" spans="1:48">
      <c r="A66" s="60">
        <v>38154</v>
      </c>
      <c r="B66" s="5" t="s">
        <v>103</v>
      </c>
      <c r="C66" s="5">
        <v>57</v>
      </c>
      <c r="D66" s="45"/>
      <c r="E66" s="45"/>
      <c r="F66" s="45"/>
      <c r="G66" s="45">
        <v>200</v>
      </c>
      <c r="H66" s="45"/>
      <c r="I66" s="45"/>
      <c r="J66" s="45"/>
      <c r="K66" s="45"/>
      <c r="L66" s="45">
        <v>200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>
        <f>D66-E66+F66-G66+H66-I66+J66-K66+L66+N66-O66+P66-Q66+R66-S66+T66-U66+V66-W66+X66-Y66+Z66-AA66+AB66-AC66+AD66-AE66+AF66-AG66+AH66-AI66+AJ66-AK66+AL66-AM66</f>
        <v>0</v>
      </c>
      <c r="AO66" s="45"/>
      <c r="AP66" s="45"/>
      <c r="AQ66" s="45"/>
      <c r="AR66" s="45"/>
      <c r="AS66" s="45"/>
      <c r="AT66" s="5"/>
      <c r="AU66" s="5"/>
      <c r="AV66" s="5"/>
    </row>
    <row r="67" spans="1:48">
      <c r="A67" s="60">
        <v>38154</v>
      </c>
      <c r="B67" s="5" t="s">
        <v>104</v>
      </c>
      <c r="C67" s="5">
        <v>58</v>
      </c>
      <c r="D67" s="45"/>
      <c r="E67" s="45"/>
      <c r="F67" s="45"/>
      <c r="G67" s="45">
        <v>306</v>
      </c>
      <c r="H67" s="45"/>
      <c r="I67" s="45"/>
      <c r="J67" s="45">
        <v>306</v>
      </c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>
        <f t="shared" si="0"/>
        <v>0</v>
      </c>
      <c r="AO67" s="45"/>
      <c r="AP67" s="45"/>
      <c r="AQ67" s="45"/>
      <c r="AR67" s="45"/>
      <c r="AS67" s="45"/>
      <c r="AT67" s="5"/>
      <c r="AU67" s="5"/>
      <c r="AV67" s="5"/>
    </row>
    <row r="68" spans="1:48">
      <c r="A68" s="60">
        <v>38154</v>
      </c>
      <c r="B68" s="5" t="s">
        <v>105</v>
      </c>
      <c r="C68" s="5">
        <v>59</v>
      </c>
      <c r="D68" s="45"/>
      <c r="E68" s="45"/>
      <c r="F68" s="45"/>
      <c r="G68" s="45">
        <v>10844.5</v>
      </c>
      <c r="H68" s="45"/>
      <c r="I68" s="45"/>
      <c r="J68" s="45"/>
      <c r="K68" s="45"/>
      <c r="L68" s="45">
        <v>5422.5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>
        <v>5422</v>
      </c>
      <c r="AK68" s="45"/>
      <c r="AL68" s="45"/>
      <c r="AM68" s="45"/>
      <c r="AN68" s="45">
        <f>D68-E68+F68-G68+H68-I68+J68-K68+L68+N68-O68+P68-Q68+R68-S68+T68-U68+V68-W68+X68-Y68+Z68-AA68+AB68-AC68+AD68-AE68+AF68-AG68+AH68-AI68+AJ68-AK68+AL68-AM68</f>
        <v>0</v>
      </c>
      <c r="AO68" s="45" t="s">
        <v>106</v>
      </c>
      <c r="AP68" s="45"/>
      <c r="AQ68" s="45"/>
      <c r="AR68" s="45"/>
      <c r="AS68" s="45"/>
      <c r="AT68" s="5"/>
      <c r="AU68" s="5"/>
      <c r="AV68" s="5"/>
    </row>
    <row r="69" spans="1:48">
      <c r="A69" s="60">
        <v>38161</v>
      </c>
      <c r="B69" s="5" t="s">
        <v>107</v>
      </c>
      <c r="C69" s="5">
        <v>60</v>
      </c>
      <c r="D69" s="45"/>
      <c r="E69" s="45"/>
      <c r="F69" s="45"/>
      <c r="G69" s="45">
        <v>2958</v>
      </c>
      <c r="H69" s="45"/>
      <c r="I69" s="45"/>
      <c r="J69" s="45">
        <v>2958</v>
      </c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>
        <f t="shared" si="0"/>
        <v>0</v>
      </c>
      <c r="AO69" s="45"/>
      <c r="AP69" s="45"/>
      <c r="AQ69" s="45"/>
      <c r="AR69" s="45"/>
      <c r="AS69" s="45"/>
      <c r="AT69" s="5"/>
      <c r="AU69" s="5"/>
      <c r="AV69" s="5"/>
    </row>
    <row r="70" spans="1:48">
      <c r="A70" s="60">
        <v>38163</v>
      </c>
      <c r="B70" s="5" t="s">
        <v>108</v>
      </c>
      <c r="C70" s="5">
        <v>61</v>
      </c>
      <c r="D70" s="45"/>
      <c r="E70" s="45"/>
      <c r="F70" s="45">
        <v>300</v>
      </c>
      <c r="G70" s="45"/>
      <c r="H70" s="45"/>
      <c r="I70" s="45"/>
      <c r="J70" s="45"/>
      <c r="K70" s="45"/>
      <c r="L70" s="45"/>
      <c r="M70" s="45"/>
      <c r="N70" s="45"/>
      <c r="O70" s="45">
        <v>300</v>
      </c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>
        <f t="shared" si="0"/>
        <v>0</v>
      </c>
      <c r="AO70" s="45"/>
      <c r="AP70" s="45"/>
      <c r="AQ70" s="45"/>
      <c r="AR70" s="45"/>
      <c r="AS70" s="45"/>
      <c r="AT70" s="5"/>
      <c r="AU70" s="5"/>
      <c r="AV70" s="5"/>
    </row>
    <row r="71" spans="1:48">
      <c r="A71" s="60">
        <v>38167</v>
      </c>
      <c r="B71" s="5" t="s">
        <v>109</v>
      </c>
      <c r="C71" s="5">
        <v>62</v>
      </c>
      <c r="D71" s="45"/>
      <c r="E71" s="45"/>
      <c r="F71" s="45">
        <v>1510</v>
      </c>
      <c r="G71" s="45"/>
      <c r="H71" s="45"/>
      <c r="I71" s="45"/>
      <c r="J71" s="45"/>
      <c r="K71" s="45">
        <v>1510</v>
      </c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>
        <f t="shared" si="0"/>
        <v>0</v>
      </c>
      <c r="AO71" s="45"/>
      <c r="AP71" s="45"/>
      <c r="AQ71" s="45"/>
      <c r="AR71" s="45"/>
      <c r="AS71" s="45"/>
      <c r="AT71" s="5"/>
      <c r="AU71" s="5"/>
      <c r="AV71" s="5"/>
    </row>
    <row r="72" spans="1:48">
      <c r="A72" s="60">
        <v>38168</v>
      </c>
      <c r="B72" s="5" t="s">
        <v>110</v>
      </c>
      <c r="C72" s="5">
        <v>63</v>
      </c>
      <c r="D72" s="45"/>
      <c r="E72" s="45"/>
      <c r="F72" s="45"/>
      <c r="G72" s="45">
        <v>18</v>
      </c>
      <c r="H72" s="45"/>
      <c r="I72" s="45"/>
      <c r="J72" s="45">
        <v>18</v>
      </c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>
        <f t="shared" si="0"/>
        <v>0</v>
      </c>
      <c r="AO72" s="45"/>
      <c r="AP72" s="45"/>
      <c r="AQ72" s="45"/>
      <c r="AR72" s="45"/>
      <c r="AS72" s="45"/>
      <c r="AT72" s="5"/>
      <c r="AU72" s="5"/>
      <c r="AV72" s="5"/>
    </row>
    <row r="73" spans="1:48">
      <c r="A73" s="60">
        <v>38186</v>
      </c>
      <c r="B73" s="5" t="s">
        <v>111</v>
      </c>
      <c r="C73" s="5">
        <v>64</v>
      </c>
      <c r="D73" s="45"/>
      <c r="E73" s="45"/>
      <c r="F73" s="45">
        <v>300</v>
      </c>
      <c r="G73" s="45"/>
      <c r="H73" s="45"/>
      <c r="I73" s="45"/>
      <c r="J73" s="45"/>
      <c r="K73" s="45"/>
      <c r="L73" s="45"/>
      <c r="M73" s="45"/>
      <c r="N73" s="45"/>
      <c r="O73" s="45">
        <v>300</v>
      </c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>
        <f t="shared" si="0"/>
        <v>0</v>
      </c>
      <c r="AO73" s="45"/>
      <c r="AP73" s="45"/>
      <c r="AQ73" s="45"/>
      <c r="AR73" s="45"/>
      <c r="AS73" s="45"/>
      <c r="AT73" s="5"/>
      <c r="AU73" s="5"/>
      <c r="AV73" s="5"/>
    </row>
    <row r="74" spans="1:48">
      <c r="A74" s="60">
        <v>38205</v>
      </c>
      <c r="B74" s="5" t="s">
        <v>112</v>
      </c>
      <c r="C74" s="5">
        <v>65</v>
      </c>
      <c r="D74" s="45"/>
      <c r="E74" s="45"/>
      <c r="F74" s="45"/>
      <c r="G74" s="45"/>
      <c r="H74" s="45"/>
      <c r="I74" s="45"/>
      <c r="J74" s="45">
        <v>628</v>
      </c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>
        <v>628</v>
      </c>
      <c r="AJ74" s="45"/>
      <c r="AK74" s="45"/>
      <c r="AL74" s="45"/>
      <c r="AM74" s="45"/>
      <c r="AN74" s="45">
        <f t="shared" si="0"/>
        <v>0</v>
      </c>
      <c r="AO74" s="45" t="s">
        <v>113</v>
      </c>
      <c r="AP74" s="45" t="s">
        <v>114</v>
      </c>
      <c r="AQ74" s="45"/>
      <c r="AR74" s="45"/>
      <c r="AS74" s="45"/>
      <c r="AT74" s="5"/>
      <c r="AU74" s="5"/>
      <c r="AV74" s="5"/>
    </row>
    <row r="75" spans="1:48">
      <c r="A75" s="60">
        <v>38217</v>
      </c>
      <c r="B75" s="5" t="s">
        <v>108</v>
      </c>
      <c r="C75" s="5">
        <v>66</v>
      </c>
      <c r="D75" s="45"/>
      <c r="E75" s="45"/>
      <c r="F75" s="45">
        <v>300</v>
      </c>
      <c r="G75" s="45"/>
      <c r="H75" s="45"/>
      <c r="I75" s="45"/>
      <c r="J75" s="45"/>
      <c r="K75" s="45"/>
      <c r="L75" s="45"/>
      <c r="M75" s="45"/>
      <c r="N75" s="45"/>
      <c r="O75" s="45">
        <v>300</v>
      </c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>
        <f t="shared" ref="AN75:AN104" si="1">D75-E75+F75-G75+H75-I75+J75-K75+N75-O75+P75-Q75+R75-S75+T75-U75+V75-W75+X75-Y75+Z75-AA75+AB75-AC75+AD75-AE75+AF75-AG75+AH75-AI75+AJ75-AK75+AL75-AM75</f>
        <v>0</v>
      </c>
      <c r="AO75" s="45"/>
      <c r="AP75" s="45"/>
      <c r="AQ75" s="45"/>
      <c r="AR75" s="45"/>
      <c r="AS75" s="45"/>
      <c r="AT75" s="5"/>
      <c r="AU75" s="5"/>
      <c r="AV75" s="5"/>
    </row>
    <row r="76" spans="1:48">
      <c r="A76" s="60">
        <v>38248</v>
      </c>
      <c r="B76" s="5" t="s">
        <v>88</v>
      </c>
      <c r="C76" s="5">
        <v>67</v>
      </c>
      <c r="D76" s="45"/>
      <c r="E76" s="45"/>
      <c r="F76" s="45"/>
      <c r="G76" s="45">
        <v>663</v>
      </c>
      <c r="H76" s="45"/>
      <c r="I76" s="45"/>
      <c r="J76" s="45">
        <v>663</v>
      </c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>
        <f t="shared" si="1"/>
        <v>0</v>
      </c>
      <c r="AO76" s="45"/>
      <c r="AP76" s="45"/>
      <c r="AQ76" s="45"/>
      <c r="AR76" s="45"/>
      <c r="AS76" s="45"/>
      <c r="AT76" s="5"/>
      <c r="AU76" s="5"/>
      <c r="AV76" s="5"/>
    </row>
    <row r="77" spans="1:48">
      <c r="A77" s="60">
        <v>38248</v>
      </c>
      <c r="B77" s="5" t="s">
        <v>115</v>
      </c>
      <c r="C77" s="5">
        <v>68</v>
      </c>
      <c r="D77" s="45"/>
      <c r="E77" s="45"/>
      <c r="F77" s="45"/>
      <c r="G77" s="45">
        <v>5000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>
        <v>5000</v>
      </c>
      <c r="AK77" s="45"/>
      <c r="AL77" s="45"/>
      <c r="AM77" s="45"/>
      <c r="AN77" s="45">
        <f t="shared" si="1"/>
        <v>0</v>
      </c>
      <c r="AO77" s="45" t="s">
        <v>116</v>
      </c>
      <c r="AP77" s="45"/>
      <c r="AQ77" s="45"/>
      <c r="AR77" s="45"/>
      <c r="AS77" s="45"/>
      <c r="AT77" s="5"/>
      <c r="AU77" s="5"/>
      <c r="AV77" s="5"/>
    </row>
    <row r="78" spans="1:48">
      <c r="A78" s="60">
        <v>38248</v>
      </c>
      <c r="B78" s="5" t="s">
        <v>90</v>
      </c>
      <c r="C78" s="5">
        <v>69</v>
      </c>
      <c r="D78" s="45"/>
      <c r="E78" s="45"/>
      <c r="F78" s="45"/>
      <c r="G78" s="45">
        <v>1089</v>
      </c>
      <c r="H78" s="45"/>
      <c r="I78" s="45"/>
      <c r="J78" s="45">
        <v>1089</v>
      </c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>
        <f t="shared" si="1"/>
        <v>0</v>
      </c>
      <c r="AO78" s="45"/>
      <c r="AP78" s="45"/>
      <c r="AQ78" s="45"/>
      <c r="AR78" s="45"/>
      <c r="AS78" s="45"/>
      <c r="AT78" s="5"/>
      <c r="AU78" s="5"/>
      <c r="AV78" s="5"/>
    </row>
    <row r="79" spans="1:48">
      <c r="A79" s="60">
        <v>38260</v>
      </c>
      <c r="B79" s="5" t="s">
        <v>117</v>
      </c>
      <c r="C79" s="5">
        <v>70</v>
      </c>
      <c r="D79" s="45"/>
      <c r="E79" s="45"/>
      <c r="F79" s="45"/>
      <c r="G79" s="45">
        <v>6</v>
      </c>
      <c r="H79" s="45"/>
      <c r="I79" s="45"/>
      <c r="J79" s="45">
        <v>6</v>
      </c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>
        <f t="shared" si="1"/>
        <v>0</v>
      </c>
      <c r="AO79" s="45"/>
      <c r="AP79" s="45"/>
      <c r="AQ79" s="45"/>
      <c r="AR79" s="45"/>
      <c r="AS79" s="45"/>
      <c r="AT79" s="5"/>
      <c r="AU79" s="5"/>
      <c r="AV79" s="5"/>
    </row>
    <row r="80" spans="1:48">
      <c r="A80" s="60">
        <v>38269</v>
      </c>
      <c r="B80" s="5" t="s">
        <v>118</v>
      </c>
      <c r="C80" s="5">
        <v>71</v>
      </c>
      <c r="D80" s="45"/>
      <c r="E80" s="45"/>
      <c r="F80" s="45">
        <v>50000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>
        <v>50000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>
        <f t="shared" si="1"/>
        <v>0</v>
      </c>
      <c r="AO80" s="45"/>
      <c r="AP80" s="45"/>
      <c r="AQ80" s="45"/>
      <c r="AR80" s="45"/>
      <c r="AS80" s="45"/>
      <c r="AT80" s="5"/>
      <c r="AU80" s="5"/>
      <c r="AV80" s="5"/>
    </row>
    <row r="81" spans="1:48">
      <c r="A81" s="60">
        <v>38277</v>
      </c>
      <c r="B81" s="5" t="s">
        <v>94</v>
      </c>
      <c r="C81" s="5">
        <v>72</v>
      </c>
      <c r="D81" s="45"/>
      <c r="E81" s="45"/>
      <c r="F81" s="45">
        <v>300</v>
      </c>
      <c r="G81" s="45"/>
      <c r="H81" s="45"/>
      <c r="I81" s="45"/>
      <c r="J81" s="45"/>
      <c r="K81" s="45"/>
      <c r="L81" s="45"/>
      <c r="M81" s="45"/>
      <c r="N81" s="45"/>
      <c r="O81" s="45">
        <v>300</v>
      </c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>
        <f t="shared" si="1"/>
        <v>0</v>
      </c>
      <c r="AO81" s="45"/>
      <c r="AP81" s="45"/>
      <c r="AQ81" s="45"/>
      <c r="AR81" s="45"/>
      <c r="AS81" s="45"/>
      <c r="AT81" s="5"/>
      <c r="AU81" s="5"/>
      <c r="AV81" s="5"/>
    </row>
    <row r="82" spans="1:48">
      <c r="A82" s="60">
        <v>38281</v>
      </c>
      <c r="B82" s="5" t="s">
        <v>119</v>
      </c>
      <c r="C82" s="5">
        <v>73</v>
      </c>
      <c r="D82" s="45">
        <v>5000</v>
      </c>
      <c r="E82" s="45"/>
      <c r="F82" s="45"/>
      <c r="G82" s="45">
        <v>5000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>
        <f t="shared" si="1"/>
        <v>0</v>
      </c>
      <c r="AO82" s="45"/>
      <c r="AP82" s="45"/>
      <c r="AQ82" s="45"/>
      <c r="AR82" s="45"/>
      <c r="AS82" s="45"/>
      <c r="AT82" s="5"/>
      <c r="AU82" s="5"/>
      <c r="AV82" s="5"/>
    </row>
    <row r="83" spans="1:48">
      <c r="A83" s="60">
        <v>38286</v>
      </c>
      <c r="B83" s="5" t="s">
        <v>120</v>
      </c>
      <c r="C83" s="5">
        <v>74</v>
      </c>
      <c r="D83" s="45"/>
      <c r="E83" s="45"/>
      <c r="F83" s="45"/>
      <c r="G83" s="45">
        <v>29760</v>
      </c>
      <c r="H83" s="45"/>
      <c r="I83" s="45"/>
      <c r="J83" s="45"/>
      <c r="K83" s="45"/>
      <c r="L83" s="45">
        <v>14880</v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>
        <v>14880</v>
      </c>
      <c r="AK83" s="45"/>
      <c r="AL83" s="45"/>
      <c r="AM83" s="45"/>
      <c r="AN83" s="45">
        <f>D83-E83+F83-G83+H83-I83+J83-K83+L83+N83-O83+P83-Q83+R83-S83+T83-U83+V83-W83+X83-Y83+Z83-AA83+AB83-AC83+AD83-AE83+AF83-AG83+AH83-AI83+AJ83-AK83+AL83-AM83</f>
        <v>0</v>
      </c>
      <c r="AO83" s="45"/>
      <c r="AP83" s="45"/>
      <c r="AQ83" s="45"/>
      <c r="AR83" s="45"/>
      <c r="AS83" s="45"/>
      <c r="AT83" s="5"/>
      <c r="AU83" s="5"/>
      <c r="AV83" s="5"/>
    </row>
    <row r="84" spans="1:48">
      <c r="A84" s="60">
        <v>38289</v>
      </c>
      <c r="B84" s="5" t="s">
        <v>121</v>
      </c>
      <c r="C84" s="5">
        <v>75</v>
      </c>
      <c r="D84" s="45"/>
      <c r="E84" s="45"/>
      <c r="F84" s="45"/>
      <c r="G84" s="45">
        <v>2</v>
      </c>
      <c r="H84" s="45"/>
      <c r="I84" s="45"/>
      <c r="J84" s="45">
        <v>2</v>
      </c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>
        <f t="shared" si="1"/>
        <v>0</v>
      </c>
      <c r="AO84" s="45"/>
      <c r="AP84" s="45"/>
      <c r="AQ84" s="45"/>
      <c r="AR84" s="45"/>
      <c r="AS84" s="45"/>
      <c r="AT84" s="5"/>
      <c r="AU84" s="5"/>
      <c r="AV84" s="5"/>
    </row>
    <row r="85" spans="1:48">
      <c r="A85" s="60">
        <v>38281</v>
      </c>
      <c r="B85" s="5" t="s">
        <v>122</v>
      </c>
      <c r="C85" s="5">
        <v>76</v>
      </c>
      <c r="D85" s="45"/>
      <c r="E85" s="45">
        <v>2771.55</v>
      </c>
      <c r="F85" s="45"/>
      <c r="G85" s="45"/>
      <c r="H85" s="45"/>
      <c r="I85" s="45"/>
      <c r="J85" s="45"/>
      <c r="K85" s="45"/>
      <c r="L85" s="45">
        <v>1385.55</v>
      </c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>
        <v>1386</v>
      </c>
      <c r="AK85" s="45"/>
      <c r="AL85" s="45"/>
      <c r="AM85" s="45"/>
      <c r="AN85" s="45">
        <f>-E85+L85+AJ85</f>
        <v>0</v>
      </c>
      <c r="AO85" s="45" t="s">
        <v>106</v>
      </c>
      <c r="AP85" s="45"/>
      <c r="AQ85" s="45"/>
      <c r="AR85" s="45"/>
      <c r="AS85" s="45"/>
      <c r="AT85" s="5"/>
      <c r="AU85" s="5"/>
      <c r="AV85" s="5"/>
    </row>
    <row r="86" spans="1:48">
      <c r="A86" s="60">
        <v>38244</v>
      </c>
      <c r="B86" s="5" t="s">
        <v>122</v>
      </c>
      <c r="C86" s="5">
        <v>77</v>
      </c>
      <c r="D86" s="45"/>
      <c r="E86" s="45">
        <v>195</v>
      </c>
      <c r="F86" s="45"/>
      <c r="G86" s="45"/>
      <c r="H86" s="45"/>
      <c r="I86" s="45"/>
      <c r="J86" s="45"/>
      <c r="K86" s="45"/>
      <c r="L86" s="45">
        <v>97.5</v>
      </c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>
        <v>97.5</v>
      </c>
      <c r="AK86" s="45"/>
      <c r="AL86" s="45"/>
      <c r="AM86" s="45"/>
      <c r="AN86" s="45">
        <f>D86-E86+F86-G86+H86-I86+J86-K86+L86+N86-O86+P86-Q86+R86-S86+T86-U86+V86-W86+X86-Y86+Z86-AA86+AB86-AC86+AD86-AE86+AF86-AG86+AH86-AI86+AJ86-AK86+AL86-AM86</f>
        <v>0</v>
      </c>
      <c r="AO86" s="45" t="s">
        <v>106</v>
      </c>
      <c r="AP86" s="45"/>
      <c r="AQ86" s="45"/>
      <c r="AR86" s="45"/>
      <c r="AS86" s="45"/>
      <c r="AT86" s="5"/>
      <c r="AU86" s="5"/>
      <c r="AV86" s="5"/>
    </row>
    <row r="87" spans="1:48">
      <c r="A87" s="60">
        <v>38283</v>
      </c>
      <c r="B87" s="5" t="s">
        <v>122</v>
      </c>
      <c r="C87" s="5">
        <v>78</v>
      </c>
      <c r="D87" s="45"/>
      <c r="E87" s="45">
        <v>1041</v>
      </c>
      <c r="F87" s="45"/>
      <c r="G87" s="45"/>
      <c r="H87" s="45"/>
      <c r="I87" s="45"/>
      <c r="J87" s="45"/>
      <c r="K87" s="45"/>
      <c r="L87" s="45">
        <v>520.5</v>
      </c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>
        <v>520.5</v>
      </c>
      <c r="AK87" s="45"/>
      <c r="AL87" s="45"/>
      <c r="AM87" s="45"/>
      <c r="AN87" s="45">
        <f>D87-E87+F87-G87+H87-I87+J87-K87+L87+N87-O87+P87-Q87+R87-S87+T87-U87+V87-W87+X87-Y87+Z87-AA87+AB87-AC87+AD87-AE87+AF87-AG87+AH87-AI87+AJ87-AK87+AL87-AM87</f>
        <v>0</v>
      </c>
      <c r="AO87" s="45" t="s">
        <v>106</v>
      </c>
      <c r="AP87" s="45"/>
      <c r="AQ87" s="45"/>
      <c r="AR87" s="45"/>
      <c r="AS87" s="45"/>
      <c r="AT87" s="5"/>
      <c r="AU87" s="5"/>
      <c r="AV87" s="5"/>
    </row>
    <row r="88" spans="1:48">
      <c r="A88" s="60">
        <v>38289</v>
      </c>
      <c r="B88" s="5" t="s">
        <v>123</v>
      </c>
      <c r="C88" s="5">
        <v>79</v>
      </c>
      <c r="D88" s="45">
        <v>397.5</v>
      </c>
      <c r="E88" s="45"/>
      <c r="F88" s="45"/>
      <c r="G88" s="45"/>
      <c r="H88" s="45"/>
      <c r="I88" s="45"/>
      <c r="J88" s="45"/>
      <c r="K88" s="45"/>
      <c r="L88" s="45"/>
      <c r="M88" s="45">
        <v>198.75</v>
      </c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>
        <v>198.75</v>
      </c>
      <c r="AL88" s="45"/>
      <c r="AM88" s="45"/>
      <c r="AN88" s="45">
        <f>D88-E88+F88-G88+H88-I88+J88-K88-M88+N88-O88+P88-Q88+R88-S88+T88-U88+V88-W88+X88-Y88+Z88-AA88+AB88-AC88+AD88-AE88+AF88-AG88+AH88-AI88+AJ88-AK88+AL88-AM88</f>
        <v>0</v>
      </c>
      <c r="AO88" s="45" t="s">
        <v>106</v>
      </c>
      <c r="AP88" s="45"/>
      <c r="AQ88" s="45"/>
      <c r="AR88" s="45"/>
      <c r="AS88" s="45"/>
      <c r="AT88" s="5"/>
      <c r="AU88" s="5"/>
      <c r="AV88" s="5"/>
    </row>
    <row r="89" spans="1:48">
      <c r="A89" s="60">
        <v>38295</v>
      </c>
      <c r="B89" s="5" t="s">
        <v>94</v>
      </c>
      <c r="C89" s="5">
        <v>80</v>
      </c>
      <c r="D89" s="45"/>
      <c r="E89" s="45"/>
      <c r="F89" s="45">
        <v>300</v>
      </c>
      <c r="G89" s="45"/>
      <c r="H89" s="45"/>
      <c r="I89" s="45"/>
      <c r="J89" s="45"/>
      <c r="K89" s="45"/>
      <c r="L89" s="45"/>
      <c r="M89" s="45"/>
      <c r="N89" s="45"/>
      <c r="O89" s="45">
        <v>300</v>
      </c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>
        <f t="shared" si="1"/>
        <v>0</v>
      </c>
      <c r="AO89" s="45"/>
      <c r="AP89" s="45"/>
      <c r="AQ89" s="45"/>
      <c r="AR89" s="45"/>
      <c r="AS89" s="45"/>
      <c r="AT89" s="5"/>
      <c r="AU89" s="5"/>
      <c r="AV89" s="5"/>
    </row>
    <row r="90" spans="1:48">
      <c r="A90" s="60">
        <v>38303</v>
      </c>
      <c r="B90" s="5" t="s">
        <v>124</v>
      </c>
      <c r="C90" s="5">
        <v>81</v>
      </c>
      <c r="D90" s="45"/>
      <c r="E90" s="45"/>
      <c r="F90" s="45"/>
      <c r="G90" s="45">
        <f>25000</f>
        <v>25000</v>
      </c>
      <c r="H90" s="45"/>
      <c r="I90" s="45"/>
      <c r="J90" s="45">
        <f>25000-15000</f>
        <v>10000</v>
      </c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>
        <v>15000</v>
      </c>
      <c r="AK90" s="45"/>
      <c r="AL90" s="45"/>
      <c r="AM90" s="45"/>
      <c r="AN90" s="45">
        <f t="shared" si="1"/>
        <v>0</v>
      </c>
      <c r="AO90" s="45" t="s">
        <v>125</v>
      </c>
      <c r="AP90" s="45"/>
      <c r="AQ90" s="45"/>
      <c r="AR90" s="45"/>
      <c r="AS90" s="45"/>
      <c r="AT90" s="5"/>
      <c r="AU90" s="5"/>
      <c r="AV90" s="5"/>
    </row>
    <row r="91" spans="1:48">
      <c r="A91" s="60">
        <v>38313</v>
      </c>
      <c r="B91" s="5" t="s">
        <v>118</v>
      </c>
      <c r="C91" s="5">
        <v>82</v>
      </c>
      <c r="D91" s="45"/>
      <c r="E91" s="45"/>
      <c r="F91" s="45">
        <v>35000</v>
      </c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>
        <v>35000</v>
      </c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>
        <f t="shared" si="1"/>
        <v>0</v>
      </c>
      <c r="AO91" s="45"/>
      <c r="AP91" s="45"/>
      <c r="AQ91" s="45"/>
      <c r="AR91" s="45"/>
      <c r="AS91" s="45"/>
      <c r="AT91" s="5"/>
      <c r="AU91" s="5"/>
      <c r="AV91" s="5"/>
    </row>
    <row r="92" spans="1:48">
      <c r="A92" s="60">
        <v>38317</v>
      </c>
      <c r="B92" s="5" t="s">
        <v>126</v>
      </c>
      <c r="C92" s="5">
        <v>83</v>
      </c>
      <c r="D92" s="45"/>
      <c r="E92" s="45">
        <v>614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>
        <v>614</v>
      </c>
      <c r="AK92" s="45"/>
      <c r="AL92" s="45"/>
      <c r="AM92" s="45"/>
      <c r="AN92" s="45">
        <f t="shared" si="1"/>
        <v>0</v>
      </c>
      <c r="AO92" s="45" t="s">
        <v>127</v>
      </c>
      <c r="AP92" s="45"/>
      <c r="AQ92" s="45"/>
      <c r="AR92" s="45"/>
      <c r="AS92" s="45"/>
      <c r="AT92" s="5"/>
      <c r="AU92" s="5"/>
      <c r="AV92" s="5"/>
    </row>
    <row r="93" spans="1:48">
      <c r="A93" s="60">
        <v>38317</v>
      </c>
      <c r="B93" s="5" t="s">
        <v>128</v>
      </c>
      <c r="C93" s="5">
        <v>84</v>
      </c>
      <c r="D93" s="45"/>
      <c r="E93" s="45">
        <v>499.5</v>
      </c>
      <c r="F93" s="45"/>
      <c r="G93" s="45"/>
      <c r="H93" s="45"/>
      <c r="I93" s="45"/>
      <c r="J93" s="45">
        <f>499.5/2</f>
        <v>249.75</v>
      </c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>
        <v>249.75</v>
      </c>
      <c r="AK93" s="45"/>
      <c r="AL93" s="45"/>
      <c r="AM93" s="45"/>
      <c r="AN93" s="45">
        <f t="shared" si="1"/>
        <v>0</v>
      </c>
      <c r="AO93" s="45" t="s">
        <v>106</v>
      </c>
      <c r="AP93" s="45"/>
      <c r="AQ93" s="45"/>
      <c r="AR93" s="45"/>
      <c r="AS93" s="45"/>
      <c r="AT93" s="5"/>
      <c r="AU93" s="5"/>
      <c r="AV93" s="5"/>
    </row>
    <row r="94" spans="1:48">
      <c r="A94" s="60">
        <v>38321</v>
      </c>
      <c r="B94" s="5" t="s">
        <v>129</v>
      </c>
      <c r="C94" s="5">
        <v>85</v>
      </c>
      <c r="D94" s="45"/>
      <c r="E94" s="45"/>
      <c r="F94" s="45"/>
      <c r="G94" s="45">
        <v>28861</v>
      </c>
      <c r="H94" s="45"/>
      <c r="I94" s="45"/>
      <c r="J94" s="45"/>
      <c r="K94" s="45"/>
      <c r="L94" s="45">
        <v>14430.5</v>
      </c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>
        <v>14430.5</v>
      </c>
      <c r="AK94" s="45"/>
      <c r="AL94" s="45"/>
      <c r="AM94" s="45"/>
      <c r="AN94" s="45">
        <f>D94-E94+F94-G94+H94-I94+J94-K94+L94+N94-O94+P94-Q94+R94-S94+T94-U94+V94-W94+X94-Y94+Z94-AA94+AB94-AC94+AD94-AE94+AF94-AG94+AH94-AI94+AJ94-AK94+AL94-AM94</f>
        <v>0</v>
      </c>
      <c r="AO94" s="45" t="s">
        <v>106</v>
      </c>
      <c r="AP94" s="45"/>
      <c r="AQ94" s="45"/>
      <c r="AR94" s="45"/>
      <c r="AS94" s="45"/>
      <c r="AT94" s="5"/>
      <c r="AU94" s="5"/>
      <c r="AV94" s="5"/>
    </row>
    <row r="95" spans="1:48">
      <c r="A95" s="60">
        <v>38327</v>
      </c>
      <c r="B95" s="5" t="s">
        <v>130</v>
      </c>
      <c r="C95" s="5">
        <v>86</v>
      </c>
      <c r="D95" s="45"/>
      <c r="E95" s="45"/>
      <c r="F95" s="45"/>
      <c r="G95" s="45">
        <v>6066.5</v>
      </c>
      <c r="H95" s="45"/>
      <c r="I95" s="45"/>
      <c r="J95" s="45">
        <v>3033.5</v>
      </c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>
        <v>3033</v>
      </c>
      <c r="AK95" s="45"/>
      <c r="AL95" s="45"/>
      <c r="AM95" s="45"/>
      <c r="AN95" s="45">
        <f t="shared" si="1"/>
        <v>0</v>
      </c>
      <c r="AO95" s="45" t="s">
        <v>106</v>
      </c>
      <c r="AP95" s="45"/>
      <c r="AQ95" s="45"/>
      <c r="AR95" s="45"/>
      <c r="AS95" s="45"/>
      <c r="AT95" s="5"/>
      <c r="AU95" s="5"/>
      <c r="AV95" s="5"/>
    </row>
    <row r="96" spans="1:48">
      <c r="A96" s="60">
        <v>38352</v>
      </c>
      <c r="B96" s="5" t="s">
        <v>131</v>
      </c>
      <c r="C96" s="5">
        <v>87</v>
      </c>
      <c r="D96" s="45"/>
      <c r="E96" s="45"/>
      <c r="F96" s="45">
        <v>22.99</v>
      </c>
      <c r="G96" s="45"/>
      <c r="H96" s="45">
        <v>31.2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>
        <f>54.19</f>
        <v>54.19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>
        <f t="shared" si="1"/>
        <v>0</v>
      </c>
      <c r="AO96" s="45"/>
      <c r="AP96" s="45"/>
      <c r="AQ96" s="45"/>
      <c r="AR96" s="45"/>
      <c r="AS96" s="45"/>
      <c r="AT96" s="5"/>
      <c r="AU96" s="5"/>
      <c r="AV96" s="5"/>
    </row>
    <row r="97" spans="1:48">
      <c r="A97" s="60">
        <v>38352</v>
      </c>
      <c r="B97" s="5" t="s">
        <v>121</v>
      </c>
      <c r="C97" s="5">
        <v>88</v>
      </c>
      <c r="D97" s="45"/>
      <c r="E97" s="45"/>
      <c r="F97" s="45"/>
      <c r="G97" s="45">
        <v>94</v>
      </c>
      <c r="H97" s="45"/>
      <c r="I97" s="45"/>
      <c r="J97" s="45">
        <v>94</v>
      </c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>
        <f t="shared" si="1"/>
        <v>0</v>
      </c>
      <c r="AO97" s="45"/>
      <c r="AP97" s="45"/>
      <c r="AQ97" s="45"/>
      <c r="AR97" s="45"/>
      <c r="AS97" s="45"/>
      <c r="AT97" s="5"/>
      <c r="AU97" s="5"/>
      <c r="AV97" s="5"/>
    </row>
    <row r="98" spans="1:48">
      <c r="A98" s="60">
        <v>38352</v>
      </c>
      <c r="B98" s="5" t="s">
        <v>132</v>
      </c>
      <c r="C98" s="5">
        <v>89</v>
      </c>
      <c r="D98" s="45"/>
      <c r="E98" s="45"/>
      <c r="F98" s="45"/>
      <c r="G98" s="45"/>
      <c r="H98" s="45"/>
      <c r="I98" s="45"/>
      <c r="J98" s="45">
        <v>12842</v>
      </c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>
        <v>12842</v>
      </c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>
        <f t="shared" si="1"/>
        <v>0</v>
      </c>
      <c r="AO98" s="45"/>
      <c r="AP98" s="45"/>
      <c r="AQ98" s="45"/>
      <c r="AR98" s="45"/>
      <c r="AS98" s="45"/>
      <c r="AT98" s="5"/>
      <c r="AU98" s="5"/>
      <c r="AV98" s="5"/>
    </row>
    <row r="99" spans="1:48">
      <c r="A99" s="60">
        <v>38352</v>
      </c>
      <c r="B99" s="5" t="s">
        <v>133</v>
      </c>
      <c r="C99" s="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>
        <f t="shared" si="1"/>
        <v>0</v>
      </c>
      <c r="AO99" s="45"/>
      <c r="AP99" s="45"/>
      <c r="AQ99" s="45"/>
      <c r="AR99" s="45"/>
      <c r="AS99" s="45"/>
      <c r="AT99" s="5"/>
      <c r="AU99" s="5"/>
      <c r="AV99" s="5"/>
    </row>
    <row r="100" spans="1:48">
      <c r="A100" s="60">
        <v>38352</v>
      </c>
      <c r="B100" s="5" t="s">
        <v>134</v>
      </c>
      <c r="C100" s="5"/>
      <c r="D100" s="45"/>
      <c r="E100" s="45"/>
      <c r="F100" s="45"/>
      <c r="G100" s="45"/>
      <c r="H100" s="45"/>
      <c r="I100" s="45"/>
      <c r="J100" s="45">
        <v>3306</v>
      </c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>
        <v>3306</v>
      </c>
      <c r="AF100" s="45"/>
      <c r="AG100" s="45"/>
      <c r="AH100" s="45"/>
      <c r="AI100" s="45"/>
      <c r="AJ100" s="45"/>
      <c r="AK100" s="45"/>
      <c r="AL100" s="45"/>
      <c r="AM100" s="45"/>
      <c r="AN100" s="45">
        <f t="shared" si="1"/>
        <v>0</v>
      </c>
      <c r="AO100" s="45"/>
      <c r="AP100" s="45"/>
      <c r="AQ100" s="45"/>
      <c r="AR100" s="45"/>
      <c r="AS100" s="45"/>
      <c r="AT100" s="5"/>
      <c r="AU100" s="5"/>
      <c r="AV100" s="5"/>
    </row>
    <row r="101" spans="1:48">
      <c r="A101" s="60">
        <v>38352</v>
      </c>
      <c r="B101" s="5" t="s">
        <v>135</v>
      </c>
      <c r="C101" s="5"/>
      <c r="D101" s="45"/>
      <c r="E101" s="45"/>
      <c r="F101" s="45"/>
      <c r="G101" s="45"/>
      <c r="H101" s="45"/>
      <c r="I101" s="45"/>
      <c r="J101" s="45">
        <f>-2565.5+48.62+1451+2333.2</f>
        <v>1267.3199999999997</v>
      </c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>
        <v>4429.68</v>
      </c>
      <c r="AK101" s="45">
        <v>5697</v>
      </c>
      <c r="AL101" s="45"/>
      <c r="AM101" s="45"/>
      <c r="AN101" s="45">
        <f t="shared" si="1"/>
        <v>0</v>
      </c>
      <c r="AO101" s="45" t="s">
        <v>136</v>
      </c>
      <c r="AP101" s="45"/>
      <c r="AQ101" s="45"/>
      <c r="AR101" s="45"/>
      <c r="AS101" s="45"/>
      <c r="AT101" s="5"/>
      <c r="AU101" s="5"/>
      <c r="AV101" s="5"/>
    </row>
    <row r="102" spans="1:48">
      <c r="A102" s="60">
        <v>38352</v>
      </c>
      <c r="B102" s="5" t="s">
        <v>137</v>
      </c>
      <c r="C102" s="5">
        <v>90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>
        <v>16477</v>
      </c>
      <c r="Q102" s="45"/>
      <c r="R102" s="45"/>
      <c r="S102" s="45">
        <v>16477</v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>
        <f t="shared" si="1"/>
        <v>0</v>
      </c>
      <c r="AO102" s="45"/>
      <c r="AP102" s="45"/>
      <c r="AQ102" s="45"/>
      <c r="AR102" s="45"/>
      <c r="AS102" s="45"/>
      <c r="AT102" s="5"/>
      <c r="AU102" s="5"/>
      <c r="AV102" s="5"/>
    </row>
    <row r="103" spans="1:48">
      <c r="A103" s="60">
        <v>38352</v>
      </c>
      <c r="B103" s="5" t="s">
        <v>138</v>
      </c>
      <c r="C103" s="5">
        <v>91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>
        <f t="shared" si="1"/>
        <v>0</v>
      </c>
      <c r="AO103" s="45"/>
      <c r="AP103" s="45"/>
      <c r="AQ103" s="45"/>
      <c r="AR103" s="45"/>
      <c r="AS103" s="45"/>
      <c r="AT103" s="5"/>
      <c r="AU103" s="5"/>
      <c r="AV103" s="5"/>
    </row>
    <row r="104" spans="1:48">
      <c r="A104" s="60">
        <v>38352</v>
      </c>
      <c r="B104" s="5" t="s">
        <v>139</v>
      </c>
      <c r="C104" s="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>
        <v>400</v>
      </c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>
        <v>400</v>
      </c>
      <c r="AI104" s="45"/>
      <c r="AJ104" s="45"/>
      <c r="AK104" s="45"/>
      <c r="AL104" s="45"/>
      <c r="AM104" s="45"/>
      <c r="AN104" s="45">
        <f t="shared" si="1"/>
        <v>0</v>
      </c>
      <c r="AO104" s="45"/>
      <c r="AP104" s="45"/>
      <c r="AQ104" s="45"/>
      <c r="AR104" s="45"/>
      <c r="AS104" s="45"/>
      <c r="AT104" s="5"/>
      <c r="AU104" s="5"/>
      <c r="AV104" s="5"/>
    </row>
    <row r="105" spans="1:48">
      <c r="A105" s="21"/>
      <c r="B105" s="21" t="s">
        <v>41</v>
      </c>
      <c r="C105" s="21"/>
      <c r="D105" s="20">
        <f>SUM(D9:D102)</f>
        <v>5495.1</v>
      </c>
      <c r="E105" s="20"/>
      <c r="F105" s="20">
        <f>SUM(F9:F102)</f>
        <v>138483.37</v>
      </c>
      <c r="G105" s="20"/>
      <c r="H105" s="20">
        <f>SUM(H9:H102)</f>
        <v>12276.960000000001</v>
      </c>
      <c r="I105" s="20"/>
      <c r="J105" s="20">
        <f>SUM(J9:J102)</f>
        <v>49465.07</v>
      </c>
      <c r="K105" s="20"/>
      <c r="L105" s="20">
        <f>SUM(L9:L102)</f>
        <v>36936.550000000003</v>
      </c>
      <c r="M105" s="20">
        <f>SUM(M9:M102)</f>
        <v>198.75</v>
      </c>
      <c r="N105" s="20">
        <f>SUM(N9:N102)</f>
        <v>0</v>
      </c>
      <c r="O105" s="86"/>
      <c r="P105" s="20">
        <f>SUM(P9:P102)</f>
        <v>830134.94</v>
      </c>
      <c r="Q105" s="20"/>
      <c r="R105" s="20">
        <f>SUM(R9:R102)</f>
        <v>0</v>
      </c>
      <c r="S105" s="86"/>
      <c r="T105" s="86">
        <f>SUM(T9:T102)</f>
        <v>51369</v>
      </c>
      <c r="U105" s="20"/>
      <c r="V105" s="86">
        <f>SUM(V9:V102)</f>
        <v>950000</v>
      </c>
      <c r="W105" s="20"/>
      <c r="X105" s="86">
        <f>SUM(X9:X102)</f>
        <v>112480</v>
      </c>
      <c r="Y105" s="20"/>
      <c r="Z105" s="86">
        <f>SUM(Z9:Z102)</f>
        <v>5000</v>
      </c>
      <c r="AA105" s="20"/>
      <c r="AB105" s="20">
        <f>SUM(AB9:AB102)</f>
        <v>0</v>
      </c>
      <c r="AC105" s="86"/>
      <c r="AD105" s="20">
        <f>SUM(AD9:AD102)</f>
        <v>0</v>
      </c>
      <c r="AE105" s="86"/>
      <c r="AF105" s="86">
        <f>SUM(AF9:AF102)</f>
        <v>0</v>
      </c>
      <c r="AG105" s="86"/>
      <c r="AH105" s="20">
        <f>SUM(AH9:AH104)</f>
        <v>5440</v>
      </c>
      <c r="AI105" s="109"/>
      <c r="AJ105" s="20"/>
      <c r="AK105" s="20">
        <f>SUM(AK9:AK102)</f>
        <v>5895.75</v>
      </c>
      <c r="AL105" s="20"/>
      <c r="AM105" s="20">
        <f>SUM(AM9:AM102)</f>
        <v>0</v>
      </c>
      <c r="AN105" s="45"/>
      <c r="AO105" s="45"/>
      <c r="AP105" s="45"/>
      <c r="AQ105" s="45"/>
      <c r="AR105" s="45"/>
      <c r="AS105" s="45"/>
      <c r="AT105" s="5"/>
      <c r="AU105" s="5"/>
      <c r="AV105" s="5"/>
    </row>
    <row r="106" spans="1:48">
      <c r="A106" s="5"/>
      <c r="B106" s="61" t="s">
        <v>140</v>
      </c>
      <c r="C106" s="5"/>
      <c r="D106" s="45"/>
      <c r="E106" s="45">
        <f>SUM(E9:E102)</f>
        <v>5121.05</v>
      </c>
      <c r="F106" s="45"/>
      <c r="G106" s="45">
        <f>SUM(G9:G103)</f>
        <v>135145</v>
      </c>
      <c r="H106" s="45"/>
      <c r="I106" s="45">
        <f>SUM(I9:I102)</f>
        <v>0</v>
      </c>
      <c r="J106" s="45"/>
      <c r="K106" s="45">
        <f>SUM(K9:K102)</f>
        <v>1510</v>
      </c>
      <c r="L106" s="45"/>
      <c r="M106" s="45"/>
      <c r="N106" s="45"/>
      <c r="O106" s="110">
        <f>SUM(O10:O104)</f>
        <v>32500</v>
      </c>
      <c r="P106" s="45"/>
      <c r="Q106" s="45">
        <f>SUM(Q9:Q102)</f>
        <v>85000</v>
      </c>
      <c r="R106" s="45"/>
      <c r="S106" s="86">
        <f>SUM(S9:S102)</f>
        <v>16531.189999999999</v>
      </c>
      <c r="T106" s="45"/>
      <c r="U106" s="45">
        <f>SUM(U9:U102)</f>
        <v>12842</v>
      </c>
      <c r="V106" s="45"/>
      <c r="W106" s="45">
        <f>SUM(W9:W102)</f>
        <v>0</v>
      </c>
      <c r="X106" s="45"/>
      <c r="Y106" s="45">
        <f>SUM(Y9:Y102)</f>
        <v>0</v>
      </c>
      <c r="Z106" s="45"/>
      <c r="AA106" s="45">
        <f>SUM(AA9:AA102)</f>
        <v>0</v>
      </c>
      <c r="AB106" s="45"/>
      <c r="AC106" s="110">
        <f>SUM(AC9:AC102)</f>
        <v>1118849</v>
      </c>
      <c r="AD106" s="45"/>
      <c r="AE106" s="110">
        <f>SUM(AE9:AE102)</f>
        <v>673552.26</v>
      </c>
      <c r="AF106" s="45"/>
      <c r="AG106" s="110">
        <f>SUM(AG9:AG102)</f>
        <v>177912.42</v>
      </c>
      <c r="AH106" s="45"/>
      <c r="AI106" s="111">
        <f>SUM(AI9:AI102)</f>
        <v>6068</v>
      </c>
      <c r="AJ106" s="111">
        <f>SUM(AJ9:AJ102)</f>
        <v>74044.429999999993</v>
      </c>
      <c r="AK106" s="45"/>
      <c r="AL106" s="111">
        <f>SUM(AL9:AL102)</f>
        <v>0</v>
      </c>
      <c r="AM106" s="45"/>
      <c r="AN106" s="45"/>
      <c r="AO106" s="45"/>
      <c r="AP106" s="45"/>
      <c r="AQ106" s="45"/>
      <c r="AR106" s="45"/>
      <c r="AS106" s="45"/>
      <c r="AT106" s="5"/>
      <c r="AU106" s="5"/>
      <c r="AV106" s="5"/>
    </row>
    <row r="107" spans="1:48">
      <c r="A107" s="21"/>
      <c r="B107" s="20" t="s">
        <v>31</v>
      </c>
      <c r="C107" s="21"/>
      <c r="D107" s="20">
        <f>IF(D105&gt;=E106,D105-E106)</f>
        <v>374.05000000000018</v>
      </c>
      <c r="E107" s="20"/>
      <c r="F107" s="20">
        <f>IF(F105&gt;=G106,F105-G106)</f>
        <v>3338.3699999999953</v>
      </c>
      <c r="G107" s="20"/>
      <c r="H107" s="20">
        <f>IF(H105&gt;=I106,H105-I106)</f>
        <v>12276.960000000001</v>
      </c>
      <c r="I107" s="20"/>
      <c r="J107" s="20">
        <f>IF(J105&gt;=K106,J105-K106)</f>
        <v>47955.07</v>
      </c>
      <c r="K107" s="20"/>
      <c r="L107" s="20">
        <f>L105-M105</f>
        <v>36737.800000000003</v>
      </c>
      <c r="M107" s="20"/>
      <c r="N107" s="20"/>
      <c r="O107" s="86">
        <f>SUM(O10:O104)</f>
        <v>32500</v>
      </c>
      <c r="P107" s="20">
        <f>IF(P105&gt;=Q106,P105-Q106)</f>
        <v>745134.94</v>
      </c>
      <c r="Q107" s="20">
        <f>IF(Q105&gt;=R106,Q105-R106)</f>
        <v>0</v>
      </c>
      <c r="R107" s="20"/>
      <c r="S107" s="86">
        <f>SUM(S10:S105)</f>
        <v>16531.189999999999</v>
      </c>
      <c r="T107" s="20">
        <f>IF(T105&gt;=U106,T105-U106)</f>
        <v>38527</v>
      </c>
      <c r="U107" s="20"/>
      <c r="V107" s="20">
        <f>IF(V105&gt;=W106,V105-W106)</f>
        <v>950000</v>
      </c>
      <c r="W107" s="20"/>
      <c r="X107" s="20">
        <f>IF(X105&gt;=Y106,X105-Y106)</f>
        <v>112480</v>
      </c>
      <c r="Y107" s="20"/>
      <c r="Z107" s="20">
        <f>IF(Z105&gt;=AA106,Z105-AA106)</f>
        <v>5000</v>
      </c>
      <c r="AA107" s="20"/>
      <c r="AB107" s="20"/>
      <c r="AC107" s="86">
        <f>AC106</f>
        <v>1118849</v>
      </c>
      <c r="AD107" s="20"/>
      <c r="AE107" s="86">
        <f>AE106</f>
        <v>673552.26</v>
      </c>
      <c r="AF107" s="20"/>
      <c r="AG107" s="86">
        <f>AG106</f>
        <v>177912.42</v>
      </c>
      <c r="AH107" s="20"/>
      <c r="AI107" s="86">
        <f>AI106-AH105</f>
        <v>628</v>
      </c>
      <c r="AJ107" s="20">
        <f>IF(AJ106&gt;=AK105,AJ106-AK105)</f>
        <v>68148.679999999993</v>
      </c>
      <c r="AK107" s="20"/>
      <c r="AL107" s="20">
        <f>IF(AL106&gt;=AM105,AL106-AM105)</f>
        <v>0</v>
      </c>
      <c r="AM107" s="20"/>
      <c r="AN107" s="111">
        <f>J107+L107-O107-S107</f>
        <v>35661.679999999993</v>
      </c>
      <c r="AO107" s="45" t="s">
        <v>141</v>
      </c>
      <c r="AP107" s="45"/>
      <c r="AQ107" s="45"/>
      <c r="AR107" s="45"/>
      <c r="AS107" s="45"/>
      <c r="AT107" s="5"/>
      <c r="AU107" s="5"/>
      <c r="AV107" s="5"/>
    </row>
    <row r="108" spans="1:4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62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25">
        <f>D107+F107+H107+P107+T107+V107+X107+Z107+AJ107</f>
        <v>1935279.9999999998</v>
      </c>
      <c r="AO108" s="5" t="s">
        <v>28</v>
      </c>
      <c r="AP108" s="5"/>
      <c r="AQ108" s="5"/>
      <c r="AR108" s="5"/>
      <c r="AS108" s="5"/>
      <c r="AT108" s="5"/>
      <c r="AU108" s="5"/>
      <c r="AV108" s="5"/>
    </row>
    <row r="109" spans="1:48">
      <c r="A109" s="5"/>
      <c r="B109" s="5"/>
      <c r="C109" s="5"/>
      <c r="D109" s="5"/>
      <c r="E109" s="5"/>
      <c r="F109" s="5"/>
      <c r="G109" s="5"/>
      <c r="H109" s="5"/>
      <c r="I109" s="5"/>
      <c r="J109" s="45"/>
      <c r="K109" s="5"/>
      <c r="L109" s="5"/>
      <c r="M109" s="5"/>
      <c r="N109" s="5"/>
      <c r="O109" s="5"/>
      <c r="P109" s="5"/>
      <c r="Q109" s="5"/>
      <c r="R109" s="5"/>
      <c r="S109" s="62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25">
        <f>AC107+AE107+AG107+AI107</f>
        <v>1970941.68</v>
      </c>
      <c r="AO109" s="5" t="s">
        <v>29</v>
      </c>
      <c r="AP109" s="5"/>
      <c r="AQ109" s="5"/>
      <c r="AR109" s="5"/>
      <c r="AS109" s="5"/>
      <c r="AT109" s="5"/>
      <c r="AU109" s="5"/>
      <c r="AV109" s="5"/>
    </row>
    <row r="110" spans="1:48">
      <c r="A110" s="5"/>
      <c r="B110" s="33" t="s">
        <v>51</v>
      </c>
      <c r="C110" s="5"/>
      <c r="D110" s="34">
        <v>2004</v>
      </c>
      <c r="E110" s="34">
        <v>2003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25">
        <f>AN107+AN108-AN109</f>
        <v>0</v>
      </c>
      <c r="AO110" s="5"/>
      <c r="AP110" s="5"/>
      <c r="AQ110" s="5"/>
      <c r="AR110" s="5"/>
      <c r="AS110" s="5"/>
      <c r="AT110" s="5"/>
      <c r="AU110" s="5"/>
      <c r="AV110" s="5"/>
    </row>
    <row r="111" spans="1:48">
      <c r="B111" s="35"/>
    </row>
    <row r="112" spans="1:48">
      <c r="B112" s="33" t="s">
        <v>52</v>
      </c>
      <c r="F112" s="33"/>
      <c r="G112" s="35"/>
      <c r="H112" s="63"/>
    </row>
    <row r="113" spans="2:15">
      <c r="B113" s="33" t="s">
        <v>53</v>
      </c>
      <c r="F113" s="35"/>
      <c r="G113" s="35"/>
      <c r="H113" s="35"/>
    </row>
    <row r="114" spans="2:15">
      <c r="B114" s="36" t="s">
        <v>54</v>
      </c>
      <c r="D114" s="77">
        <f>D107</f>
        <v>374.05000000000018</v>
      </c>
      <c r="E114" s="77">
        <v>98</v>
      </c>
      <c r="F114" s="33"/>
      <c r="G114" s="33" t="s">
        <v>59</v>
      </c>
      <c r="H114" s="35"/>
    </row>
    <row r="115" spans="2:15">
      <c r="B115" s="36" t="s">
        <v>55</v>
      </c>
      <c r="D115" s="77">
        <f>F107</f>
        <v>3338.3699999999953</v>
      </c>
      <c r="E115" s="77">
        <v>19850</v>
      </c>
      <c r="F115" s="33"/>
      <c r="G115" s="35" t="s">
        <v>142</v>
      </c>
      <c r="H115" s="35"/>
      <c r="I115" s="113">
        <v>2050</v>
      </c>
    </row>
    <row r="116" spans="2:15">
      <c r="B116" s="36" t="s">
        <v>56</v>
      </c>
      <c r="D116" s="77">
        <f>H107</f>
        <v>12276.960000000001</v>
      </c>
      <c r="E116" s="77">
        <v>12246</v>
      </c>
      <c r="F116" s="36"/>
      <c r="G116" s="5" t="s">
        <v>107</v>
      </c>
      <c r="H116" s="64"/>
      <c r="I116" s="113">
        <f>J59</f>
        <v>682</v>
      </c>
    </row>
    <row r="117" spans="2:15">
      <c r="B117" s="36" t="s">
        <v>57</v>
      </c>
      <c r="D117" s="77">
        <f>P107</f>
        <v>745134.94</v>
      </c>
      <c r="E117" s="77">
        <v>813658</v>
      </c>
      <c r="F117" s="36"/>
      <c r="G117" s="5" t="s">
        <v>143</v>
      </c>
      <c r="H117" s="64"/>
      <c r="I117" s="119">
        <f>J63</f>
        <v>335.5</v>
      </c>
    </row>
    <row r="118" spans="2:15">
      <c r="B118" s="36" t="s">
        <v>58</v>
      </c>
      <c r="C118" t="s">
        <v>80</v>
      </c>
      <c r="D118" s="77">
        <f>AJ101</f>
        <v>4429.68</v>
      </c>
      <c r="E118" s="77">
        <v>5697</v>
      </c>
      <c r="F118" s="36"/>
      <c r="G118" s="5" t="s">
        <v>105</v>
      </c>
      <c r="H118" s="64"/>
      <c r="I118" s="119">
        <f>AJ68</f>
        <v>5422</v>
      </c>
    </row>
    <row r="119" spans="2:15">
      <c r="B119" s="36" t="s">
        <v>78</v>
      </c>
      <c r="D119" s="77">
        <f>AJ60</f>
        <v>217</v>
      </c>
      <c r="E119" s="77">
        <v>0</v>
      </c>
      <c r="F119" s="36"/>
      <c r="G119" s="5" t="s">
        <v>120</v>
      </c>
      <c r="H119" s="64"/>
      <c r="I119" s="119">
        <f>AJ83</f>
        <v>14880</v>
      </c>
    </row>
    <row r="120" spans="2:15">
      <c r="B120" s="36" t="s">
        <v>144</v>
      </c>
      <c r="D120" s="77">
        <f>AJ77+AJ62</f>
        <v>5000</v>
      </c>
      <c r="E120" s="77">
        <v>0</v>
      </c>
      <c r="F120" s="36"/>
      <c r="G120" s="5" t="s">
        <v>122</v>
      </c>
      <c r="H120" s="64"/>
      <c r="I120" s="119">
        <f>AJ85</f>
        <v>1386</v>
      </c>
    </row>
    <row r="121" spans="2:15">
      <c r="B121" s="36" t="s">
        <v>145</v>
      </c>
      <c r="D121" s="77">
        <f>AJ90</f>
        <v>15000</v>
      </c>
      <c r="E121" s="77">
        <v>0</v>
      </c>
      <c r="F121" s="36"/>
      <c r="G121" s="5" t="s">
        <v>122</v>
      </c>
      <c r="H121" s="64"/>
      <c r="I121" s="119">
        <f>AJ86</f>
        <v>97.5</v>
      </c>
    </row>
    <row r="122" spans="2:15">
      <c r="B122" s="36" t="s">
        <v>59</v>
      </c>
      <c r="C122" t="s">
        <v>80</v>
      </c>
      <c r="D122" s="77">
        <f>AJ59+AJ63+AJ68+AJ83+AJ85+AJ86+AJ87-AK88+AJ92+AJ93+AJ94+AJ95+2050-AI74</f>
        <v>42874</v>
      </c>
      <c r="E122" s="77">
        <v>2050</v>
      </c>
      <c r="F122" s="36"/>
      <c r="G122" s="5" t="s">
        <v>122</v>
      </c>
      <c r="H122" s="65"/>
      <c r="I122" s="119">
        <f>AJ87</f>
        <v>520.5</v>
      </c>
    </row>
    <row r="123" spans="2:15">
      <c r="B123" s="33" t="s">
        <v>60</v>
      </c>
      <c r="D123" s="78">
        <f>SUM(D114:D122)</f>
        <v>828645</v>
      </c>
      <c r="E123" s="78">
        <f>SUM(E114:E122)</f>
        <v>853599</v>
      </c>
      <c r="F123" s="36"/>
      <c r="G123" s="5" t="s">
        <v>123</v>
      </c>
      <c r="H123" s="64"/>
      <c r="I123" s="119">
        <f>-AK88</f>
        <v>-198.75</v>
      </c>
      <c r="O123" s="87"/>
    </row>
    <row r="124" spans="2:15">
      <c r="B124" s="35"/>
      <c r="D124" s="77"/>
      <c r="E124" s="77"/>
      <c r="F124" s="36"/>
      <c r="G124" s="5" t="s">
        <v>146</v>
      </c>
      <c r="H124" s="64"/>
      <c r="I124" s="119">
        <f>AJ92</f>
        <v>614</v>
      </c>
    </row>
    <row r="125" spans="2:15">
      <c r="B125" s="35"/>
      <c r="D125" s="94"/>
      <c r="E125" s="77"/>
      <c r="F125" s="33"/>
      <c r="G125" s="5" t="s">
        <v>129</v>
      </c>
      <c r="H125" s="64"/>
      <c r="I125" s="119">
        <f>AJ95</f>
        <v>3033</v>
      </c>
    </row>
    <row r="126" spans="2:15">
      <c r="B126" s="33" t="s">
        <v>61</v>
      </c>
      <c r="D126" s="77"/>
      <c r="E126" s="77"/>
      <c r="F126" s="35"/>
      <c r="G126" s="5" t="s">
        <v>128</v>
      </c>
      <c r="H126" s="64"/>
      <c r="I126" s="119">
        <f>AJ93</f>
        <v>249.75</v>
      </c>
    </row>
    <row r="127" spans="2:15">
      <c r="B127" s="35" t="s">
        <v>62</v>
      </c>
      <c r="D127" s="77">
        <f>T107</f>
        <v>38527</v>
      </c>
      <c r="E127" s="77">
        <v>51369</v>
      </c>
      <c r="F127" s="35"/>
      <c r="G127" s="5" t="s">
        <v>130</v>
      </c>
      <c r="H127" s="64"/>
      <c r="I127" s="119">
        <f>AJ94</f>
        <v>14430.5</v>
      </c>
    </row>
    <row r="128" spans="2:15">
      <c r="B128" s="35" t="s">
        <v>63</v>
      </c>
      <c r="D128" s="77">
        <f>V107</f>
        <v>950000</v>
      </c>
      <c r="E128" s="77">
        <v>950000</v>
      </c>
      <c r="F128" s="33"/>
      <c r="G128" s="5" t="s">
        <v>147</v>
      </c>
      <c r="H128" s="64"/>
      <c r="I128" s="114">
        <f>-AI74</f>
        <v>-628</v>
      </c>
    </row>
    <row r="129" spans="2:10">
      <c r="B129" s="36" t="s">
        <v>64</v>
      </c>
      <c r="D129" s="77">
        <f>X107</f>
        <v>112480</v>
      </c>
      <c r="E129" s="77">
        <v>112480</v>
      </c>
      <c r="F129" s="35"/>
      <c r="G129" s="67" t="s">
        <v>148</v>
      </c>
      <c r="H129" s="64"/>
      <c r="I129" s="115">
        <f>SUM(I115:I128)</f>
        <v>42874</v>
      </c>
      <c r="J129" s="5"/>
    </row>
    <row r="130" spans="2:10">
      <c r="B130" s="36" t="s">
        <v>65</v>
      </c>
      <c r="D130" s="77">
        <f>Z107</f>
        <v>5000</v>
      </c>
      <c r="E130" s="77">
        <v>5000</v>
      </c>
      <c r="F130" s="35"/>
    </row>
    <row r="131" spans="2:10">
      <c r="B131" s="38" t="s">
        <v>66</v>
      </c>
      <c r="D131" s="78">
        <f>SUM(D127:D130)</f>
        <v>1106007</v>
      </c>
      <c r="E131" s="78">
        <f>SUM(E127:E130)</f>
        <v>1118849</v>
      </c>
      <c r="F131" s="36"/>
    </row>
    <row r="132" spans="2:10">
      <c r="B132" s="35"/>
      <c r="D132" s="77"/>
      <c r="E132" s="77"/>
      <c r="F132" s="36"/>
    </row>
    <row r="133" spans="2:10">
      <c r="B133" s="35"/>
      <c r="D133" s="77"/>
      <c r="E133" s="77"/>
      <c r="F133" s="38"/>
      <c r="G133" s="33"/>
      <c r="H133" s="65"/>
    </row>
    <row r="134" spans="2:10">
      <c r="B134" s="38" t="s">
        <v>67</v>
      </c>
      <c r="D134" s="78">
        <f>D123+D131</f>
        <v>1934652</v>
      </c>
      <c r="E134" s="78">
        <f>E123+E131</f>
        <v>1972448</v>
      </c>
      <c r="F134" s="35"/>
      <c r="G134" s="35"/>
      <c r="H134" s="64"/>
    </row>
    <row r="135" spans="2:10">
      <c r="B135" s="35"/>
      <c r="D135" s="77"/>
      <c r="E135" s="77"/>
      <c r="F135" s="35"/>
      <c r="G135" s="35"/>
      <c r="H135" s="64"/>
    </row>
    <row r="136" spans="2:10">
      <c r="B136" s="35"/>
      <c r="D136" s="77"/>
      <c r="E136" s="77"/>
      <c r="F136" s="38"/>
      <c r="G136" s="35"/>
      <c r="H136" s="65"/>
    </row>
    <row r="137" spans="2:10">
      <c r="B137" s="33" t="s">
        <v>68</v>
      </c>
      <c r="D137" s="77"/>
      <c r="E137" s="77"/>
      <c r="F137" s="35"/>
      <c r="G137" s="33"/>
      <c r="H137" s="64"/>
    </row>
    <row r="138" spans="2:10">
      <c r="B138" s="35" t="s">
        <v>69</v>
      </c>
      <c r="D138" s="77">
        <f>AI107-AI74</f>
        <v>0</v>
      </c>
      <c r="E138" s="77">
        <v>5440</v>
      </c>
      <c r="F138" s="35"/>
      <c r="G138" s="35"/>
      <c r="H138" s="64"/>
    </row>
    <row r="139" spans="2:10">
      <c r="B139" s="33" t="s">
        <v>70</v>
      </c>
      <c r="D139" s="78">
        <f>SUM(D138)</f>
        <v>0</v>
      </c>
      <c r="E139" s="78">
        <f>SUM(E138)</f>
        <v>5440</v>
      </c>
      <c r="F139" s="33"/>
      <c r="G139" s="35"/>
      <c r="H139" s="64"/>
    </row>
    <row r="140" spans="2:10">
      <c r="B140" s="35"/>
      <c r="D140" s="77"/>
      <c r="E140" s="77"/>
      <c r="F140" s="35"/>
      <c r="G140" s="38"/>
      <c r="H140" s="65"/>
      <c r="I140" s="33"/>
    </row>
    <row r="141" spans="2:10">
      <c r="B141" s="35"/>
      <c r="D141" s="77"/>
      <c r="E141" s="77"/>
      <c r="F141" s="33"/>
      <c r="G141" s="33"/>
      <c r="H141" s="65"/>
    </row>
    <row r="142" spans="2:10">
      <c r="B142" s="33" t="s">
        <v>71</v>
      </c>
      <c r="D142" s="77"/>
      <c r="E142" s="77"/>
      <c r="F142" s="35"/>
      <c r="G142" s="35"/>
      <c r="H142" s="64"/>
    </row>
    <row r="143" spans="2:10">
      <c r="B143" s="35" t="s">
        <v>72</v>
      </c>
      <c r="D143" s="77">
        <f>AC107</f>
        <v>1118849</v>
      </c>
      <c r="E143" s="77">
        <v>1118849</v>
      </c>
      <c r="F143" s="35"/>
      <c r="G143" s="35"/>
      <c r="H143" s="64"/>
    </row>
    <row r="144" spans="2:10">
      <c r="B144" s="36" t="s">
        <v>73</v>
      </c>
      <c r="D144" s="77">
        <f>AE107</f>
        <v>673552.26</v>
      </c>
      <c r="E144" s="77">
        <v>670246</v>
      </c>
      <c r="F144" s="69"/>
      <c r="G144" s="35"/>
      <c r="H144" s="64"/>
    </row>
    <row r="145" spans="2:8">
      <c r="B145" s="36" t="s">
        <v>74</v>
      </c>
      <c r="D145" s="77">
        <f>AG107</f>
        <v>177912.42</v>
      </c>
      <c r="E145" s="77">
        <v>171471</v>
      </c>
      <c r="F145" s="35"/>
      <c r="G145" s="35"/>
      <c r="H145" s="64"/>
    </row>
    <row r="146" spans="2:8">
      <c r="B146" s="38" t="s">
        <v>75</v>
      </c>
      <c r="D146" s="78">
        <f>SUM(D143:D145)</f>
        <v>1970313.68</v>
      </c>
      <c r="E146" s="78">
        <f>SUM(E143:E145)</f>
        <v>1960566</v>
      </c>
      <c r="F146" s="36"/>
      <c r="G146" s="35"/>
      <c r="H146" s="64"/>
    </row>
    <row r="147" spans="2:8">
      <c r="B147" s="35"/>
      <c r="D147" s="77"/>
      <c r="E147" s="77"/>
      <c r="F147" s="36"/>
      <c r="G147" s="35"/>
      <c r="H147" s="64"/>
    </row>
    <row r="148" spans="2:8">
      <c r="B148" s="33" t="s">
        <v>76</v>
      </c>
      <c r="D148" s="77"/>
      <c r="E148" s="77"/>
      <c r="F148" s="38"/>
      <c r="G148" s="35"/>
      <c r="H148" s="65"/>
    </row>
    <row r="149" spans="2:8">
      <c r="B149" s="36" t="s">
        <v>79</v>
      </c>
      <c r="D149" s="77">
        <f>D134-D139-D146</f>
        <v>-35661.679999999935</v>
      </c>
      <c r="E149" s="77">
        <f>E134-E139-E146</f>
        <v>6442</v>
      </c>
      <c r="F149" s="70"/>
      <c r="G149" s="35"/>
      <c r="H149" s="64"/>
    </row>
    <row r="150" spans="2:8">
      <c r="B150" s="35"/>
      <c r="D150" s="77"/>
      <c r="E150" s="77"/>
      <c r="F150" s="33"/>
      <c r="G150" s="70"/>
      <c r="H150" s="64"/>
    </row>
    <row r="151" spans="2:8">
      <c r="B151" s="33" t="s">
        <v>77</v>
      </c>
      <c r="D151" s="78">
        <f>D139+D146+D149</f>
        <v>1934652</v>
      </c>
      <c r="E151" s="78">
        <f>E139+E146+E149</f>
        <v>1972448</v>
      </c>
      <c r="F151" s="36"/>
      <c r="G151" s="35"/>
      <c r="H151" s="64"/>
    </row>
    <row r="152" spans="2:8">
      <c r="B152" s="33"/>
      <c r="D152" s="71"/>
      <c r="E152" s="71"/>
      <c r="F152" s="36"/>
      <c r="G152" s="35"/>
      <c r="H152" s="64"/>
    </row>
    <row r="153" spans="2:8">
      <c r="B153" s="33"/>
      <c r="D153" s="71"/>
      <c r="E153" s="71"/>
      <c r="F153" s="36"/>
      <c r="G153" s="35"/>
      <c r="H153" s="64"/>
    </row>
    <row r="154" spans="2:8">
      <c r="B154" s="33"/>
      <c r="D154" s="71"/>
      <c r="E154" s="71"/>
      <c r="F154" s="36"/>
      <c r="G154" s="35"/>
      <c r="H154" s="64"/>
    </row>
    <row r="155" spans="2:8">
      <c r="B155" s="33"/>
      <c r="D155" s="71"/>
      <c r="E155" s="71"/>
      <c r="F155" s="36"/>
      <c r="G155" s="35"/>
      <c r="H155" s="64"/>
    </row>
    <row r="156" spans="2:8">
      <c r="B156" s="33"/>
      <c r="D156" s="71"/>
      <c r="E156" s="71"/>
      <c r="F156" s="36"/>
      <c r="G156" s="35"/>
      <c r="H156" s="64"/>
    </row>
    <row r="157" spans="2:8">
      <c r="B157" s="33"/>
      <c r="D157" s="71"/>
      <c r="E157" s="71"/>
      <c r="F157" s="36"/>
      <c r="G157" s="35"/>
      <c r="H157" s="64"/>
    </row>
    <row r="158" spans="2:8">
      <c r="B158" s="33"/>
      <c r="D158" s="71"/>
      <c r="E158" s="71"/>
      <c r="F158" s="36"/>
      <c r="G158" s="35"/>
      <c r="H158" s="64"/>
    </row>
    <row r="159" spans="2:8">
      <c r="B159" s="33"/>
      <c r="D159" s="71"/>
      <c r="E159" s="71"/>
      <c r="F159" s="36"/>
      <c r="G159" s="35"/>
      <c r="H159" s="64"/>
    </row>
    <row r="160" spans="2:8">
      <c r="B160" s="35"/>
      <c r="F160" s="35"/>
      <c r="G160" s="35"/>
      <c r="H160" s="64"/>
    </row>
    <row r="161" spans="2:9">
      <c r="F161" s="33"/>
      <c r="G161" s="35"/>
      <c r="H161" s="65"/>
    </row>
    <row r="162" spans="2:9">
      <c r="F162" s="35"/>
      <c r="G162" s="35"/>
      <c r="H162" s="72"/>
    </row>
    <row r="163" spans="2:9">
      <c r="D163" s="77"/>
      <c r="E163" s="77"/>
      <c r="F163" s="64"/>
      <c r="G163" s="116" t="s">
        <v>149</v>
      </c>
      <c r="H163" s="117" t="s">
        <v>245</v>
      </c>
    </row>
    <row r="164" spans="2:9" ht="15.75">
      <c r="B164" s="74" t="s">
        <v>141</v>
      </c>
      <c r="D164" s="112" t="s">
        <v>242</v>
      </c>
      <c r="E164" s="112" t="s">
        <v>246</v>
      </c>
      <c r="F164" s="116" t="s">
        <v>150</v>
      </c>
      <c r="G164" s="116" t="s">
        <v>151</v>
      </c>
      <c r="H164" s="118" t="s">
        <v>241</v>
      </c>
    </row>
    <row r="165" spans="2:9">
      <c r="B165" s="34" t="s">
        <v>153</v>
      </c>
      <c r="D165" s="77"/>
      <c r="E165" s="77"/>
      <c r="F165" s="64"/>
      <c r="G165" s="64"/>
      <c r="H165" s="64"/>
    </row>
    <row r="166" spans="2:9">
      <c r="B166" t="s">
        <v>154</v>
      </c>
      <c r="D166" s="77">
        <f>O107</f>
        <v>32500</v>
      </c>
      <c r="E166" s="77">
        <v>24800</v>
      </c>
      <c r="F166" s="64">
        <v>36000</v>
      </c>
      <c r="G166" s="64">
        <f>F166-D166</f>
        <v>3500</v>
      </c>
      <c r="H166" s="77">
        <v>33000</v>
      </c>
      <c r="I166" s="35"/>
    </row>
    <row r="167" spans="2:9">
      <c r="B167" t="s">
        <v>155</v>
      </c>
      <c r="D167" s="77">
        <f>S102</f>
        <v>16477</v>
      </c>
      <c r="E167" s="77">
        <v>39014</v>
      </c>
      <c r="F167" s="64">
        <v>16000</v>
      </c>
      <c r="G167" s="64">
        <f>F167-D167</f>
        <v>-477</v>
      </c>
      <c r="H167" s="77">
        <v>16000</v>
      </c>
      <c r="I167" s="35"/>
    </row>
    <row r="168" spans="2:9">
      <c r="B168" t="s">
        <v>156</v>
      </c>
      <c r="D168" s="77">
        <f>S96</f>
        <v>54.19</v>
      </c>
      <c r="E168" s="77">
        <v>332</v>
      </c>
      <c r="F168" s="64">
        <v>100</v>
      </c>
      <c r="G168" s="64">
        <f>F168-D168</f>
        <v>45.81</v>
      </c>
      <c r="H168" s="96">
        <v>50</v>
      </c>
      <c r="I168" s="35"/>
    </row>
    <row r="169" spans="2:9">
      <c r="B169" t="s">
        <v>157</v>
      </c>
      <c r="D169" s="77"/>
      <c r="E169" s="77"/>
      <c r="F169" s="96">
        <v>3500</v>
      </c>
      <c r="G169" s="64">
        <f>F169-D169</f>
        <v>3500</v>
      </c>
      <c r="H169" s="77"/>
      <c r="I169" s="35"/>
    </row>
    <row r="170" spans="2:9">
      <c r="B170" s="34" t="s">
        <v>158</v>
      </c>
      <c r="D170" s="92">
        <f>SUM(D166:D168)</f>
        <v>49031.19</v>
      </c>
      <c r="E170" s="92">
        <f>SUM(E166:E168)</f>
        <v>64146</v>
      </c>
      <c r="F170" s="92">
        <f>SUM(F166:F169)</f>
        <v>55600</v>
      </c>
      <c r="G170" s="92">
        <f>F170-D170</f>
        <v>6568.8099999999977</v>
      </c>
      <c r="H170" s="78">
        <f>SUM(H166:H169)</f>
        <v>49050</v>
      </c>
      <c r="I170" s="37"/>
    </row>
    <row r="171" spans="2:9">
      <c r="D171" s="77"/>
      <c r="E171" s="77"/>
      <c r="F171" s="77"/>
      <c r="G171" s="77"/>
      <c r="H171" s="77"/>
    </row>
    <row r="172" spans="2:9">
      <c r="B172" s="34" t="s">
        <v>159</v>
      </c>
      <c r="D172" s="77"/>
      <c r="E172" s="77"/>
      <c r="F172" s="77"/>
      <c r="G172" s="77"/>
      <c r="H172" s="77"/>
    </row>
    <row r="173" spans="2:9">
      <c r="B173" t="s">
        <v>160</v>
      </c>
      <c r="D173" s="77">
        <f>J77+J11</f>
        <v>5000</v>
      </c>
      <c r="E173" s="77">
        <v>5000</v>
      </c>
      <c r="F173" s="77">
        <v>5000</v>
      </c>
      <c r="G173" s="64">
        <f t="shared" ref="G173:G187" si="2">F173-D173</f>
        <v>0</v>
      </c>
      <c r="H173" s="77">
        <v>10000</v>
      </c>
    </row>
    <row r="174" spans="2:9">
      <c r="B174" t="s">
        <v>161</v>
      </c>
      <c r="D174" s="77">
        <f>J98</f>
        <v>12842</v>
      </c>
      <c r="E174" s="77">
        <v>12842</v>
      </c>
      <c r="F174" s="77">
        <v>12842</v>
      </c>
      <c r="G174" s="64">
        <f t="shared" si="2"/>
        <v>0</v>
      </c>
      <c r="H174" s="77">
        <v>12842</v>
      </c>
    </row>
    <row r="175" spans="2:9">
      <c r="B175" t="s">
        <v>162</v>
      </c>
      <c r="D175" s="77">
        <f>J101-K71</f>
        <v>-242.68000000000029</v>
      </c>
      <c r="E175" s="77">
        <v>7022</v>
      </c>
      <c r="F175" s="77">
        <v>8000</v>
      </c>
      <c r="G175" s="64">
        <f t="shared" si="2"/>
        <v>8242.68</v>
      </c>
      <c r="H175" s="77">
        <v>8000</v>
      </c>
    </row>
    <row r="176" spans="2:9">
      <c r="B176" t="s">
        <v>163</v>
      </c>
      <c r="D176" s="77">
        <f>J63+J69+J95+J59</f>
        <v>7009</v>
      </c>
      <c r="E176" s="77">
        <v>11221</v>
      </c>
      <c r="F176" s="77">
        <v>5000</v>
      </c>
      <c r="G176" s="64">
        <f t="shared" si="2"/>
        <v>-2009</v>
      </c>
      <c r="H176" s="77">
        <v>6000</v>
      </c>
    </row>
    <row r="177" spans="2:17">
      <c r="B177" t="s">
        <v>164</v>
      </c>
      <c r="D177" s="77">
        <f>J14</f>
        <v>977</v>
      </c>
      <c r="E177" s="77">
        <v>977</v>
      </c>
      <c r="F177" s="77">
        <v>1000</v>
      </c>
      <c r="G177" s="64">
        <f t="shared" si="2"/>
        <v>23</v>
      </c>
      <c r="H177" s="77">
        <v>1000</v>
      </c>
    </row>
    <row r="178" spans="2:17">
      <c r="B178" t="s">
        <v>165</v>
      </c>
      <c r="D178" s="77">
        <f>J44+J78</f>
        <v>2240</v>
      </c>
      <c r="E178" s="77">
        <v>2256</v>
      </c>
      <c r="F178" s="77">
        <v>2300</v>
      </c>
      <c r="G178" s="64">
        <f t="shared" si="2"/>
        <v>60</v>
      </c>
      <c r="H178" s="77">
        <v>2300</v>
      </c>
    </row>
    <row r="179" spans="2:17">
      <c r="B179" t="s">
        <v>166</v>
      </c>
      <c r="D179" s="77">
        <f>J93+J12+J16+J55+J79+J84+J97+J72+J67+J74+J103</f>
        <v>1354.75</v>
      </c>
      <c r="E179" s="77">
        <v>3549</v>
      </c>
      <c r="F179" s="77">
        <v>4000</v>
      </c>
      <c r="G179" s="64">
        <f t="shared" si="2"/>
        <v>2645.25</v>
      </c>
      <c r="H179" s="77">
        <v>4000</v>
      </c>
    </row>
    <row r="180" spans="2:17">
      <c r="B180" t="s">
        <v>167</v>
      </c>
      <c r="D180" s="77">
        <f>L66+L68+L83+L85+L86+L87+L94-M88</f>
        <v>36737.800000000003</v>
      </c>
      <c r="E180" s="77"/>
      <c r="F180" s="77">
        <v>0</v>
      </c>
      <c r="G180" s="64">
        <f t="shared" si="2"/>
        <v>-36737.800000000003</v>
      </c>
      <c r="H180" s="77">
        <v>0</v>
      </c>
    </row>
    <row r="181" spans="2:17">
      <c r="B181" t="s">
        <v>125</v>
      </c>
      <c r="D181" s="77">
        <f>J90</f>
        <v>10000</v>
      </c>
      <c r="E181" s="77"/>
      <c r="F181" s="77">
        <v>18050</v>
      </c>
      <c r="G181" s="64">
        <f t="shared" si="2"/>
        <v>8050</v>
      </c>
      <c r="H181" s="77">
        <v>0</v>
      </c>
    </row>
    <row r="182" spans="2:17">
      <c r="B182" t="s">
        <v>168</v>
      </c>
      <c r="D182" s="77">
        <v>0</v>
      </c>
      <c r="E182" s="77">
        <v>2050</v>
      </c>
      <c r="F182" s="77">
        <v>0</v>
      </c>
      <c r="G182" s="64">
        <f t="shared" si="2"/>
        <v>0</v>
      </c>
      <c r="H182" s="77">
        <v>0</v>
      </c>
    </row>
    <row r="183" spans="2:17">
      <c r="B183" t="s">
        <v>169</v>
      </c>
      <c r="D183" s="77">
        <f>J62</f>
        <v>2500</v>
      </c>
      <c r="E183" s="77">
        <v>2000</v>
      </c>
      <c r="F183" s="77">
        <v>0</v>
      </c>
      <c r="G183" s="64">
        <f t="shared" si="2"/>
        <v>-2500</v>
      </c>
      <c r="H183" s="77">
        <v>0</v>
      </c>
    </row>
    <row r="184" spans="2:17">
      <c r="B184" t="s">
        <v>170</v>
      </c>
      <c r="D184" s="77">
        <f>J13+J42+J60+J61+J76+J43</f>
        <v>2969</v>
      </c>
      <c r="E184" s="77">
        <v>2919</v>
      </c>
      <c r="F184" s="77">
        <v>2000</v>
      </c>
      <c r="G184" s="64">
        <f t="shared" si="2"/>
        <v>-969</v>
      </c>
      <c r="H184" s="77">
        <v>2000</v>
      </c>
      <c r="Q184">
        <f>663+217+50</f>
        <v>930</v>
      </c>
    </row>
    <row r="185" spans="2:17">
      <c r="B185" s="34" t="s">
        <v>171</v>
      </c>
      <c r="D185" s="92">
        <f>SUM(D173:D184)</f>
        <v>81386.87</v>
      </c>
      <c r="E185" s="92">
        <f>SUM(E173:E184)</f>
        <v>49836</v>
      </c>
      <c r="F185" s="92">
        <f>SUM(F173:F184)</f>
        <v>58192</v>
      </c>
      <c r="G185" s="92">
        <f t="shared" si="2"/>
        <v>-23194.869999999995</v>
      </c>
      <c r="H185" s="78">
        <f>SUM(H173:H184)</f>
        <v>46142</v>
      </c>
    </row>
    <row r="186" spans="2:17">
      <c r="D186" s="77"/>
      <c r="E186" s="77"/>
      <c r="F186" s="77"/>
      <c r="G186" s="77"/>
      <c r="H186" s="77"/>
    </row>
    <row r="187" spans="2:17">
      <c r="B187" s="34" t="s">
        <v>141</v>
      </c>
      <c r="D187" s="92">
        <f>D170-D185</f>
        <v>-32355.679999999993</v>
      </c>
      <c r="E187" s="92">
        <f>E170-E185</f>
        <v>14310</v>
      </c>
      <c r="F187" s="92">
        <f>F170-F185</f>
        <v>-2592</v>
      </c>
      <c r="G187" s="92">
        <f t="shared" si="2"/>
        <v>29763.679999999993</v>
      </c>
      <c r="H187" s="78">
        <f>H170-H185</f>
        <v>2908</v>
      </c>
    </row>
    <row r="188" spans="2:17">
      <c r="D188" s="77"/>
      <c r="E188" s="77"/>
      <c r="F188" s="77"/>
      <c r="G188" s="77"/>
      <c r="H188" s="77"/>
    </row>
    <row r="189" spans="2:17">
      <c r="B189" s="34" t="s">
        <v>172</v>
      </c>
      <c r="D189" s="77"/>
      <c r="E189" s="77"/>
      <c r="F189" s="77"/>
      <c r="G189" s="77"/>
      <c r="H189" s="77"/>
    </row>
    <row r="190" spans="2:17">
      <c r="B190" t="s">
        <v>173</v>
      </c>
      <c r="D190" s="77">
        <f>J100</f>
        <v>3306</v>
      </c>
      <c r="E190" s="77">
        <v>7869</v>
      </c>
      <c r="F190" s="77">
        <v>3220</v>
      </c>
      <c r="G190" s="64">
        <f>F190-D190</f>
        <v>-86</v>
      </c>
      <c r="H190" s="77">
        <v>3220</v>
      </c>
    </row>
    <row r="191" spans="2:17">
      <c r="B191" t="s">
        <v>174</v>
      </c>
      <c r="D191" s="77">
        <f>D149</f>
        <v>-35661.679999999935</v>
      </c>
      <c r="E191" s="77">
        <v>6441</v>
      </c>
      <c r="F191" s="77">
        <f>F187-F190</f>
        <v>-5812</v>
      </c>
      <c r="G191" s="64">
        <f>F191-D191</f>
        <v>29849.679999999935</v>
      </c>
      <c r="H191" s="77"/>
    </row>
    <row r="192" spans="2:17">
      <c r="B192" s="34" t="s">
        <v>175</v>
      </c>
      <c r="D192" s="92">
        <f>SUM(D190:D191)</f>
        <v>-32355.679999999935</v>
      </c>
      <c r="E192" s="92">
        <f>SUM(E190:E191)</f>
        <v>14310</v>
      </c>
      <c r="F192" s="92">
        <v>-2592</v>
      </c>
      <c r="G192" s="92">
        <f>F192-D192</f>
        <v>29763.679999999935</v>
      </c>
      <c r="H192" s="78"/>
    </row>
    <row r="194" spans="4:14" ht="13.5" customHeight="1">
      <c r="D194" s="34" t="s">
        <v>176</v>
      </c>
      <c r="I194" s="34" t="s">
        <v>166</v>
      </c>
    </row>
    <row r="195" spans="4:14" ht="13.5" customHeight="1">
      <c r="D195" s="34" t="s">
        <v>177</v>
      </c>
      <c r="I195" s="5" t="s">
        <v>178</v>
      </c>
      <c r="N195">
        <f>J93</f>
        <v>249.75</v>
      </c>
    </row>
    <row r="196" spans="4:14">
      <c r="D196" s="79" t="s">
        <v>179</v>
      </c>
      <c r="E196" s="34"/>
      <c r="F196" s="80"/>
      <c r="G196" s="81">
        <v>5697</v>
      </c>
      <c r="I196" s="61" t="s">
        <v>87</v>
      </c>
      <c r="N196">
        <f>J12+J16+J79+J84+J97+J72+J55</f>
        <v>171</v>
      </c>
    </row>
    <row r="197" spans="4:14">
      <c r="D197" s="79" t="s">
        <v>180</v>
      </c>
      <c r="E197" s="34"/>
      <c r="F197" s="80"/>
      <c r="G197" s="81">
        <v>2565.5</v>
      </c>
      <c r="H197" s="81"/>
      <c r="I197" s="81" t="s">
        <v>181</v>
      </c>
      <c r="N197">
        <f>J67</f>
        <v>306</v>
      </c>
    </row>
    <row r="198" spans="4:14">
      <c r="D198" s="79" t="s">
        <v>182</v>
      </c>
      <c r="E198" s="34"/>
      <c r="F198" s="80"/>
      <c r="G198" s="81">
        <v>-2333.1999999999998</v>
      </c>
      <c r="I198" s="5" t="s">
        <v>112</v>
      </c>
      <c r="N198" s="45">
        <v>628</v>
      </c>
    </row>
    <row r="199" spans="4:14">
      <c r="D199" s="79" t="s">
        <v>183</v>
      </c>
      <c r="E199" s="34"/>
      <c r="F199" s="80"/>
      <c r="G199" s="81">
        <v>-48.62</v>
      </c>
      <c r="I199" s="81"/>
      <c r="N199" s="68">
        <f>SUM(N194:N198)</f>
        <v>1354.75</v>
      </c>
    </row>
    <row r="200" spans="4:14">
      <c r="D200" s="79" t="s">
        <v>184</v>
      </c>
      <c r="E200" s="34"/>
      <c r="F200" s="80"/>
      <c r="G200" s="81">
        <v>-1451</v>
      </c>
    </row>
    <row r="201" spans="4:14" ht="13.5" thickBot="1">
      <c r="D201" s="34" t="s">
        <v>185</v>
      </c>
      <c r="E201" s="82"/>
      <c r="F201" s="82"/>
      <c r="G201" s="120">
        <f>SUM(G196:G200)</f>
        <v>4429.68</v>
      </c>
      <c r="I201" s="81"/>
      <c r="N201" s="33"/>
    </row>
    <row r="202" spans="4:14" ht="13.5" thickTop="1">
      <c r="D202" s="34"/>
      <c r="E202" s="82"/>
      <c r="F202" s="82"/>
      <c r="G202" s="83"/>
      <c r="I202" s="81"/>
      <c r="N202" s="33"/>
    </row>
    <row r="203" spans="4:14">
      <c r="D203" s="34" t="s">
        <v>186</v>
      </c>
      <c r="E203" s="82"/>
      <c r="F203" s="82"/>
      <c r="G203" s="83"/>
      <c r="I203" s="81"/>
      <c r="N203" s="33"/>
    </row>
    <row r="204" spans="4:14">
      <c r="D204" s="79" t="s">
        <v>179</v>
      </c>
      <c r="E204" s="82"/>
      <c r="F204" s="82"/>
      <c r="G204" s="84">
        <v>5697</v>
      </c>
      <c r="I204" s="81"/>
      <c r="N204" s="33"/>
    </row>
    <row r="205" spans="4:14">
      <c r="D205" s="79" t="s">
        <v>187</v>
      </c>
      <c r="E205" s="82"/>
      <c r="F205" s="82"/>
      <c r="G205" s="84">
        <v>-4429.68</v>
      </c>
      <c r="H205" s="81"/>
      <c r="I205" s="81"/>
      <c r="N205" s="33"/>
    </row>
    <row r="206" spans="4:14">
      <c r="D206" s="79" t="s">
        <v>188</v>
      </c>
      <c r="E206" s="82"/>
      <c r="F206" s="82"/>
      <c r="G206" s="84">
        <v>0</v>
      </c>
      <c r="I206" s="81"/>
      <c r="N206" s="33"/>
    </row>
    <row r="207" spans="4:14">
      <c r="D207" s="79" t="s">
        <v>189</v>
      </c>
      <c r="G207" s="81">
        <v>-1510</v>
      </c>
      <c r="I207" s="81"/>
    </row>
    <row r="208" spans="4:14" ht="13.5" thickBot="1">
      <c r="D208" s="34" t="s">
        <v>190</v>
      </c>
      <c r="E208" s="34"/>
      <c r="F208" s="34"/>
      <c r="G208" s="120">
        <f>SUM(G204:G207)</f>
        <v>-242.68000000000029</v>
      </c>
      <c r="I208" s="81"/>
    </row>
    <row r="209" spans="4:9" ht="13.5" thickTop="1">
      <c r="G209" s="81"/>
      <c r="I209" s="81"/>
    </row>
    <row r="210" spans="4:9">
      <c r="D210" s="34" t="s">
        <v>191</v>
      </c>
      <c r="I210" s="81"/>
    </row>
    <row r="211" spans="4:9">
      <c r="D211" s="5" t="s">
        <v>105</v>
      </c>
      <c r="F211">
        <f>L68</f>
        <v>5422.5</v>
      </c>
      <c r="G211" s="81"/>
      <c r="I211" s="81"/>
    </row>
    <row r="212" spans="4:9">
      <c r="D212" t="str">
        <f>B83</f>
        <v>AB Asfalt AS</v>
      </c>
      <c r="F212">
        <f>L83</f>
        <v>14880</v>
      </c>
      <c r="G212" s="81"/>
      <c r="I212" s="81"/>
    </row>
    <row r="213" spans="4:9">
      <c r="D213" t="s">
        <v>192</v>
      </c>
      <c r="F213">
        <f>L85+L86+L87-M88</f>
        <v>1804.8</v>
      </c>
    </row>
    <row r="214" spans="4:9">
      <c r="D214" t="str">
        <f>B94</f>
        <v>Romeriksgartneren</v>
      </c>
      <c r="F214">
        <f>L94</f>
        <v>14430.5</v>
      </c>
    </row>
    <row r="215" spans="4:9">
      <c r="D215" t="s">
        <v>239</v>
      </c>
      <c r="F215">
        <f>L66</f>
        <v>200</v>
      </c>
    </row>
    <row r="216" spans="4:9">
      <c r="D216" s="34" t="s">
        <v>193</v>
      </c>
      <c r="E216" s="34"/>
      <c r="F216" s="68">
        <f>SUM(F211:F215)</f>
        <v>36737.800000000003</v>
      </c>
    </row>
  </sheetData>
  <phoneticPr fontId="2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56</vt:i4>
      </vt:variant>
      <vt:variant>
        <vt:lpstr>Navngitte områder</vt:lpstr>
      </vt:variant>
      <vt:variant>
        <vt:i4>4</vt:i4>
      </vt:variant>
    </vt:vector>
  </HeadingPairs>
  <TitlesOfParts>
    <vt:vector size="60" baseType="lpstr">
      <vt:lpstr>Rev.kom. malbrev</vt:lpstr>
      <vt:lpstr>Sjekkliste rev.kom.</vt:lpstr>
      <vt:lpstr>Regnskap 2018</vt:lpstr>
      <vt:lpstr>Ark25</vt:lpstr>
      <vt:lpstr>Ark26</vt:lpstr>
      <vt:lpstr>Ark27</vt:lpstr>
      <vt:lpstr>Ark28</vt:lpstr>
      <vt:lpstr>Ark29</vt:lpstr>
      <vt:lpstr>Ark30</vt:lpstr>
      <vt:lpstr>Ark31</vt:lpstr>
      <vt:lpstr>Ark32</vt:lpstr>
      <vt:lpstr>Ark33</vt:lpstr>
      <vt:lpstr>Ark34</vt:lpstr>
      <vt:lpstr>Ark35</vt:lpstr>
      <vt:lpstr>Ark36</vt:lpstr>
      <vt:lpstr>Ark37</vt:lpstr>
      <vt:lpstr>Ark38</vt:lpstr>
      <vt:lpstr>Ark13</vt:lpstr>
      <vt:lpstr>Ark14</vt:lpstr>
      <vt:lpstr>Ark15</vt:lpstr>
      <vt:lpstr>Ark16</vt:lpstr>
      <vt:lpstr>Ark17</vt:lpstr>
      <vt:lpstr>Ark18</vt:lpstr>
      <vt:lpstr>Ark19</vt:lpstr>
      <vt:lpstr>Ark20</vt:lpstr>
      <vt:lpstr>Ark21</vt:lpstr>
      <vt:lpstr>Ark22</vt:lpstr>
      <vt:lpstr>Ark23</vt:lpstr>
      <vt:lpstr>Ark24</vt:lpstr>
      <vt:lpstr>Ark12</vt:lpstr>
      <vt:lpstr>Ark11</vt:lpstr>
      <vt:lpstr>Ark9</vt:lpstr>
      <vt:lpstr>Ark1</vt:lpstr>
      <vt:lpstr>Ark10</vt:lpstr>
      <vt:lpstr>Ark7</vt:lpstr>
      <vt:lpstr>Ark8</vt:lpstr>
      <vt:lpstr>Ark2</vt:lpstr>
      <vt:lpstr>Regnskap 2017</vt:lpstr>
      <vt:lpstr>Ark4</vt:lpstr>
      <vt:lpstr>Ark5</vt:lpstr>
      <vt:lpstr>Ark6</vt:lpstr>
      <vt:lpstr>Ark3</vt:lpstr>
      <vt:lpstr>Regnskap 2016</vt:lpstr>
      <vt:lpstr>Regnskap 2015</vt:lpstr>
      <vt:lpstr>Regnskap 2014</vt:lpstr>
      <vt:lpstr>Regnskap 2013</vt:lpstr>
      <vt:lpstr>Regnskap 2012</vt:lpstr>
      <vt:lpstr>Regnskap 2011</vt:lpstr>
      <vt:lpstr>Regnskap 2010</vt:lpstr>
      <vt:lpstr>Regnskap 2009</vt:lpstr>
      <vt:lpstr>Regnskap 2008</vt:lpstr>
      <vt:lpstr>Regnskap 2007</vt:lpstr>
      <vt:lpstr>Regnskap 2006</vt:lpstr>
      <vt:lpstr>Korr.regnsk.2005</vt:lpstr>
      <vt:lpstr>Regnsk.2005 fra Vibeke</vt:lpstr>
      <vt:lpstr>Korr. regnsk. 2004</vt:lpstr>
      <vt:lpstr>Korr.regnsk.2005!Utskriftsområde</vt:lpstr>
      <vt:lpstr>'Regnskap 2017'!Utskriftsområde</vt:lpstr>
      <vt:lpstr>'Regnskap 2018'!Utskriftsområde</vt:lpstr>
      <vt:lpstr>'Rev.kom. malbrev'!Utskriftsområde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Løseth;John Mikal Raaheim</dc:creator>
  <cp:lastModifiedBy>Anne Grethe Gabrielsen</cp:lastModifiedBy>
  <cp:lastPrinted>2019-02-17T15:06:14Z</cp:lastPrinted>
  <dcterms:created xsi:type="dcterms:W3CDTF">2006-03-13T08:49:29Z</dcterms:created>
  <dcterms:modified xsi:type="dcterms:W3CDTF">2019-03-05T12:53:29Z</dcterms:modified>
</cp:coreProperties>
</file>